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tabRatio="764" activeTab="16"/>
  </bookViews>
  <sheets>
    <sheet name="2000 Euro" sheetId="1" r:id="rId1"/>
    <sheet name="2001 Euro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  <sheet name="2019" sheetId="20" r:id="rId20"/>
    <sheet name="2020" sheetId="21" r:id="rId21"/>
    <sheet name="Vorausanteile" sheetId="22" r:id="rId22"/>
  </sheets>
  <definedNames>
    <definedName name="_xlnm.Print_Area" localSheetId="0">'2000 Euro'!$A$1:$K$51</definedName>
    <definedName name="_xlnm.Print_Area" localSheetId="1">'2001 Euro'!$A$1:$K$51</definedName>
    <definedName name="_xlnm.Print_Area" localSheetId="8">'2008'!$5:$26,'2008'!$30:$58</definedName>
    <definedName name="_xlnm.Print_Area" localSheetId="9">'2009'!$5:$21,'2009'!$25:$53</definedName>
    <definedName name="_xlnm.Print_Area" localSheetId="12">'2012'!$5:$26,'2012'!$29:$57</definedName>
    <definedName name="_xlnm.Print_Area" localSheetId="13">'2013'!$5:$26,'2013'!$29:$57</definedName>
    <definedName name="_xlnm.Print_Area" localSheetId="14">'2014'!$5:$42,'2014'!$45:$73</definedName>
    <definedName name="_xlnm.Print_Area" localSheetId="15">'2015'!$5:$42,'2015'!$45:$73</definedName>
    <definedName name="_xlnm.Print_Area" localSheetId="16">'2016'!$5:$42,'2016'!$45:$73</definedName>
    <definedName name="_xlnm.Print_Area" localSheetId="17">'2017'!$5:$42,'2017'!$45:$73</definedName>
    <definedName name="_xlnm.Print_Area" localSheetId="18">'2018'!$5:$42,'2018'!$45:$73</definedName>
    <definedName name="_xlnm.Print_Area" localSheetId="19">'2019'!$5:$42,'2019'!$45:$73</definedName>
    <definedName name="_xlnm.Print_Area" localSheetId="20">'2020'!$5:$42,'2020'!$45:$73</definedName>
    <definedName name="_xlnm.Print_Area" localSheetId="21">'Vorausanteile'!$1:$22,'Vorausanteile'!$25:$73,'Vorausanteile'!$76:$124,'Vorausanteile'!$127:$175,'Vorausanteile'!$178:$226,'Vorausanteile'!$229:$283,'Vorausanteile'!$285:$339</definedName>
    <definedName name="_xlnm.Print_Titles" localSheetId="8">'2008'!$1:$3</definedName>
    <definedName name="_xlnm.Print_Titles" localSheetId="9">'2009'!$1:$3</definedName>
    <definedName name="_xlnm.Print_Titles" localSheetId="10">'2010'!$1:$3</definedName>
    <definedName name="_xlnm.Print_Titles" localSheetId="11">'2011'!$1:$3</definedName>
    <definedName name="_xlnm.Print_Titles" localSheetId="12">'2012'!$1:$3</definedName>
    <definedName name="_xlnm.Print_Titles" localSheetId="13">'2013'!$1:$3</definedName>
    <definedName name="_xlnm.Print_Titles" localSheetId="14">'2014'!$1:$3</definedName>
    <definedName name="_xlnm.Print_Titles" localSheetId="15">'2015'!$1:$3</definedName>
    <definedName name="_xlnm.Print_Titles" localSheetId="16">'2016'!$1:$3</definedName>
    <definedName name="_xlnm.Print_Titles" localSheetId="17">'2017'!$1:$3</definedName>
    <definedName name="_xlnm.Print_Titles" localSheetId="18">'2018'!$1:$3</definedName>
    <definedName name="_xlnm.Print_Titles" localSheetId="19">'2019'!$1:$3</definedName>
    <definedName name="_xlnm.Print_Titles" localSheetId="20">'2020'!$1:$3</definedName>
  </definedNames>
  <calcPr fullCalcOnLoad="1"/>
</workbook>
</file>

<file path=xl/sharedStrings.xml><?xml version="1.0" encoding="utf-8"?>
<sst xmlns="http://schemas.openxmlformats.org/spreadsheetml/2006/main" count="2405" uniqueCount="204">
  <si>
    <t>Bgld.</t>
  </si>
  <si>
    <t>Ktn.</t>
  </si>
  <si>
    <t>Nö.</t>
  </si>
  <si>
    <t>Oö.</t>
  </si>
  <si>
    <t>Sbg.</t>
  </si>
  <si>
    <t>Stmk.</t>
  </si>
  <si>
    <t>Tirol</t>
  </si>
  <si>
    <t>Vbg.</t>
  </si>
  <si>
    <t>Wien</t>
  </si>
  <si>
    <t>Se.</t>
  </si>
  <si>
    <t>Zw Vj</t>
  </si>
  <si>
    <t>Se</t>
  </si>
  <si>
    <t>SpbAbg</t>
  </si>
  <si>
    <t>Bedarfszuweisungsmittel gemäß § 22 Abs. 1 FAG 2001</t>
  </si>
  <si>
    <t>Mio. Euro</t>
  </si>
  <si>
    <t>Von den Ertragsanteilen der Gemeinden entfallen auf besondere Verteilungsschlüssel:</t>
  </si>
  <si>
    <t>Getränkesteuerausgleich (Vert. nach Aufk. 93-97)</t>
  </si>
  <si>
    <t>Anz.-u.Ank.Abg.-Ausgleich (Verteilung nach Aufk. 96-98)</t>
  </si>
  <si>
    <t>Anz.-u.Ank.Abg.-Ausgleich (Verteilung nach Volkszahl)</t>
  </si>
  <si>
    <t>VS 2004</t>
  </si>
  <si>
    <t>Ertragsanteile 2004 Kassa, Länder</t>
  </si>
  <si>
    <t>Ertragsanteile 2004 Kassa, Gemeinden</t>
  </si>
  <si>
    <t>Ertragsanteile 2005 Kassa, Gemeinden</t>
  </si>
  <si>
    <t>VS 2005</t>
  </si>
  <si>
    <t>Ertragsanteile 2005 Kassa, Länder</t>
  </si>
  <si>
    <t>Ertragsanteile 2006 Kassa, Gemeinden</t>
  </si>
  <si>
    <t>VS 2006</t>
  </si>
  <si>
    <t>Ertragsanteile 2006 Kassa, Länder</t>
  </si>
  <si>
    <t>Ertragsanteile 2007 Kassa, Gemeinden</t>
  </si>
  <si>
    <t>VS 2007</t>
  </si>
  <si>
    <t>Ertragsanteile 2007 Kassa, Länder</t>
  </si>
  <si>
    <t>Bedarfszuweisungsmittel gemäß § 22 Abs. 1 und 4 FAG 2005</t>
  </si>
  <si>
    <t>Kassenmäßige Ertragsanteile 2000, Erfolg, in Mio. Euro</t>
  </si>
  <si>
    <t>Ertragsanteile 2000 Kassa, Gemeinden</t>
  </si>
  <si>
    <t>mit Sonderkonto Werbeabgabe</t>
  </si>
  <si>
    <t>VS 2000</t>
  </si>
  <si>
    <t>Ertragsanteile 2000 Kassa, Länder</t>
  </si>
  <si>
    <t>Bedarfszuweisungsmittel gemäß § 21a FAG 1997</t>
  </si>
  <si>
    <t>im Jahr</t>
  </si>
  <si>
    <t>2000</t>
  </si>
  <si>
    <t>Von den Ertragsanteile der Gemeinden entfallen auf besondere Verteilungsschlüssel:</t>
  </si>
  <si>
    <t>Kassenmäßige Ertragsanteile 2001, Erfolg, in Mio. Euro</t>
  </si>
  <si>
    <t>Ertragsanteile 2001 Kassa, Gemeinden</t>
  </si>
  <si>
    <t>ohne Sonderkonto Werbeabgabe</t>
  </si>
  <si>
    <t>VS 2001</t>
  </si>
  <si>
    <t>Ertragsanteile 2001 Kassa, Länder</t>
  </si>
  <si>
    <t>2001</t>
  </si>
  <si>
    <t>Kassenmäßige Ertragsanteile 2002, Erfolg, in Mio. Euro</t>
  </si>
  <si>
    <t>Ertragsanteile 2002 Kassa, Gemeinden</t>
  </si>
  <si>
    <t>VS 2002</t>
  </si>
  <si>
    <t>Ertragsanteile 2002 Kassa, Länder</t>
  </si>
  <si>
    <t>Kassenmäßige Ertragsanteile 2003, Erfolg, in Mio. Euro</t>
  </si>
  <si>
    <t>Ertragsanteile 2003 Kassa, Gemeinden</t>
  </si>
  <si>
    <t>VS 2003</t>
  </si>
  <si>
    <t>Ertragsanteile 2003 Kassa, Länder</t>
  </si>
  <si>
    <t>Kassenmäßige Ertragsanteile 2004, Erfolg, in Mio. Euro</t>
  </si>
  <si>
    <t>Kassenmäßige Ertragsanteile 2005, Erfolg, in Mio. Euro</t>
  </si>
  <si>
    <t>Kassenmäßige Ertragsanteile 2006, Erfolg, in Mio. Euro</t>
  </si>
  <si>
    <t>Ertragsanteile 2008 Kassa, Gemeinden</t>
  </si>
  <si>
    <t>VS 2008</t>
  </si>
  <si>
    <t>Ertragsanteile 2008 Kassa, Länder</t>
  </si>
  <si>
    <t>Vorausanteil gemäß § 11 Abs. 5</t>
  </si>
  <si>
    <t>Valorisierung gg. Vorjahr:</t>
  </si>
  <si>
    <t>Abs. 5</t>
  </si>
  <si>
    <t>Ertragsanteile 2009 Kassa, Gemeinden</t>
  </si>
  <si>
    <t>VS 2009</t>
  </si>
  <si>
    <t>Ertragsanteile 2009 Kassa, Länder</t>
  </si>
  <si>
    <t>Ertragsanteile 2010 Kassa, Gemeinden</t>
  </si>
  <si>
    <t>VS 2010</t>
  </si>
  <si>
    <t>Ertragsanteile 2010 Kassa, Länder</t>
  </si>
  <si>
    <t>Kassenmäßige Ertragsanteile 2007, Erfolg, in Mio. Euro</t>
  </si>
  <si>
    <t>Kassenmäßige Ertragsanteile 2009, Erfolg, in Mio. Euro</t>
  </si>
  <si>
    <t>Ertragsanteile 2011 Kassa, Gemeinden</t>
  </si>
  <si>
    <t>VS 2011</t>
  </si>
  <si>
    <t>Ertragsanteile 2011 Kassa, Länder</t>
  </si>
  <si>
    <t>Ertragsanteile 2012 Kassa, Gemeinden</t>
  </si>
  <si>
    <t>VS 2012</t>
  </si>
  <si>
    <t>Ertragsanteile 2012 Kassa, Länder</t>
  </si>
  <si>
    <t>Kassenmäßige Ertragsanteile 2008, Erfolg, in Mio. Euro</t>
  </si>
  <si>
    <t>Abs. 6</t>
  </si>
  <si>
    <t>Euro je Einwohner</t>
  </si>
  <si>
    <t>bis</t>
  </si>
  <si>
    <t>10.001 bis</t>
  </si>
  <si>
    <t>20.001 bis</t>
  </si>
  <si>
    <t>über</t>
  </si>
  <si>
    <t>StatSt.</t>
  </si>
  <si>
    <t>20.001-45.000</t>
  </si>
  <si>
    <t>Burgenland</t>
  </si>
  <si>
    <t>Kärnten</t>
  </si>
  <si>
    <t>Niederösterreich</t>
  </si>
  <si>
    <t>Oberösterreich</t>
  </si>
  <si>
    <t>Salzburg</t>
  </si>
  <si>
    <t>Steiermark</t>
  </si>
  <si>
    <t>Vorarlberg</t>
  </si>
  <si>
    <t>St. Pölten</t>
  </si>
  <si>
    <t>Brunn am Gebirge</t>
  </si>
  <si>
    <t>Altmünster</t>
  </si>
  <si>
    <t>Hallein</t>
  </si>
  <si>
    <t>Seekirchen am Wallersee</t>
  </si>
  <si>
    <t>Zell am See</t>
  </si>
  <si>
    <t>Mürzzuschlag</t>
  </si>
  <si>
    <t>Lustenau</t>
  </si>
  <si>
    <t xml:space="preserve">EBREICHSDORF                         </t>
  </si>
  <si>
    <t xml:space="preserve">GAENSERNDORF                         </t>
  </si>
  <si>
    <t xml:space="preserve">GERASDORF BEI WIEN                   </t>
  </si>
  <si>
    <t xml:space="preserve">ALTMUENSTER                          </t>
  </si>
  <si>
    <t xml:space="preserve">LAAKIRCHEN                           </t>
  </si>
  <si>
    <t xml:space="preserve">HALLEIN                              </t>
  </si>
  <si>
    <t xml:space="preserve">SEEKIRCHEN AM WALLERSEE              </t>
  </si>
  <si>
    <t xml:space="preserve">ZELL AM SEE                          </t>
  </si>
  <si>
    <t xml:space="preserve">KOEFLACH                             </t>
  </si>
  <si>
    <t xml:space="preserve">VOITSBERG                            </t>
  </si>
  <si>
    <t xml:space="preserve">IMST                                 </t>
  </si>
  <si>
    <t>Vorausanteil für die Gemeinden gemäß § 11 Abs. 6 FAG im Jahr 2011</t>
  </si>
  <si>
    <t>Vorausanteil für die Gemeinden gemäß § 11 Abs. 5 FAG im Jahr 2011</t>
  </si>
  <si>
    <t>Vorausanteil für die Gemeinden gemäß § 11 Abs. 5 FAG im Jahr 2012</t>
  </si>
  <si>
    <t>Vorausanteil für die Gemeinden gemäß § 11 Abs. 6 FAG im Jahr 2012</t>
  </si>
  <si>
    <t>Vorausanteil für die Gemeinden gemäß § 11 Abs. 5 FAG im Jahr 2010</t>
  </si>
  <si>
    <t>Vorausanteil gemäß § 11 Abs. 5 und Abs. 6</t>
  </si>
  <si>
    <t>Kassenmäßige Ertragsanteile 2010, in Mio. Euro</t>
  </si>
  <si>
    <t>VS 2012 vor Abzug ehem. Landespflegegeld</t>
  </si>
  <si>
    <t>Zw-Se vor Abzug ehem. Landespflegegeld</t>
  </si>
  <si>
    <t>Abzug ehem. Landespflegegeld</t>
  </si>
  <si>
    <t>Se ohne Spielbankabgabe</t>
  </si>
  <si>
    <t>Kassenmäßige Ertragsanteile 2011, in Mio. Euro</t>
  </si>
  <si>
    <t>Vorausanteile gemäß § 11 Abs. 5 und 6</t>
  </si>
  <si>
    <t>Ertragsanteile 2013 Kassa, Gemeinden</t>
  </si>
  <si>
    <t>VS 2013 vor Abzug ehem. Landespflegegeld</t>
  </si>
  <si>
    <t>Ertragsanteile 2013 Kassa, Länder</t>
  </si>
  <si>
    <t>VS 2013</t>
  </si>
  <si>
    <t>Ertragsanteile 2014 Kassa, Gemeinden</t>
  </si>
  <si>
    <t>VS 2014 vor Abzug ehem. Landespflegegeld</t>
  </si>
  <si>
    <t>Ertragsanteile 2014 Kassa, Länder</t>
  </si>
  <si>
    <t>VS 2014</t>
  </si>
  <si>
    <t>Ertragsanteile 2015 Kassa, Gemeinden</t>
  </si>
  <si>
    <t>VS 2015 vor Abzug ehem. Landespflegegeld</t>
  </si>
  <si>
    <t>Ertragsanteile 2015 Kassa, Länder</t>
  </si>
  <si>
    <t>VS 2015</t>
  </si>
  <si>
    <t>Vorausanteil für die Gemeinden gemäß § 11 Abs. 5 FAG im Jahr 2013</t>
  </si>
  <si>
    <t>Vorausanteil für die Gemeinden gemäß § 11 Abs. 6 FAG im Jahr 2013</t>
  </si>
  <si>
    <t>Vorausanteil für die Gemeinden gemäß § 11 Abs. 5 FAG im Jahr 2014</t>
  </si>
  <si>
    <t>Vorausanteil für die Gemeinden gemäß § 11 Abs. 6 FAG im Jahr 2014</t>
  </si>
  <si>
    <t>Ertragsanteile 2016 Kassa, Gemeinden</t>
  </si>
  <si>
    <t>VS 2016 vor Abzug ehem. Landespflegegeld</t>
  </si>
  <si>
    <t>Ertragsanteile 2016 Kassa, Länder</t>
  </si>
  <si>
    <t>VS 2016</t>
  </si>
  <si>
    <t>Krankenanstalten-Zweckzuschuss KAKuG *)</t>
  </si>
  <si>
    <t>*) nach Abzug der Vorwegabzüge gemäß § 57 Abs. 4 Z 5 KAKuG</t>
  </si>
  <si>
    <t>Aufkommensabhängige Transfers</t>
  </si>
  <si>
    <t>Krankenanstalten-ZZ: Gemeindeanteil</t>
  </si>
  <si>
    <t>Krankenanstaltenfinanzierung: Länderanteil</t>
  </si>
  <si>
    <t>Förderung v öffentl Pers.nv.untern. § 20(1) **)</t>
  </si>
  <si>
    <t>PersNV-Investitionen § 20(2): Busbahnhöfe</t>
  </si>
  <si>
    <t>PersNV-Investitionen § 20(2): zur Verteilung</t>
  </si>
  <si>
    <t>FZ § 21: ohne 16 Mio. Euro für Städte ***)</t>
  </si>
  <si>
    <t>FZ § 21: 16 Mio. Euro für Städte **)</t>
  </si>
  <si>
    <t>**) länderweise Anteile gemäß letzter Überweisung</t>
  </si>
  <si>
    <t>***) Hochrechnung der Aufstockung für Bgld. auf Basis der letzten Überweisung</t>
  </si>
  <si>
    <t>Kassenmäßige Ertragsanteile 2012, in Mio. Euro</t>
  </si>
  <si>
    <t>Ertragsanteile 2017 Kassa, Gemeinden</t>
  </si>
  <si>
    <t>VS 2017 vor Abzug ehem. Landespflegegeld</t>
  </si>
  <si>
    <t>Ertragsanteile 2017 Kassa, Länder</t>
  </si>
  <si>
    <t>VS 2017</t>
  </si>
  <si>
    <t>Ebreichsdorf</t>
  </si>
  <si>
    <t>Gänserndorf</t>
  </si>
  <si>
    <t>Gerasdorf bei Wien</t>
  </si>
  <si>
    <t>Laakirchen</t>
  </si>
  <si>
    <t>Köflach</t>
  </si>
  <si>
    <t>Voitsberg</t>
  </si>
  <si>
    <t>Imst</t>
  </si>
  <si>
    <t>Valorisierung 2012-2014:</t>
  </si>
  <si>
    <t>Abs. 7a</t>
  </si>
  <si>
    <t>Vorausanteil gemäß § 11 Abs. 7a</t>
  </si>
  <si>
    <t>zus. StatSt.</t>
  </si>
  <si>
    <t>Ertragsanteile 2018 Kassa, Gemeinden</t>
  </si>
  <si>
    <t>VS 2018 vor Abzug ehem. Landespflegegeld</t>
  </si>
  <si>
    <t>Ertragsanteile 2018 Kassa, Länder</t>
  </si>
  <si>
    <t>VS 2018</t>
  </si>
  <si>
    <t>Kassenmäßige Ertragsanteile 2013, in Mio. Euro</t>
  </si>
  <si>
    <t>Kassenmäßige Ertragsanteile 2014, in Mio. Euro</t>
  </si>
  <si>
    <t>Ertragsanteile 2019 Kassa, Gemeinden</t>
  </si>
  <si>
    <t>VS 2019 vor Abzug ehem. Landespflegegeld</t>
  </si>
  <si>
    <t>Ertragsanteile 2019 Kassa, Länder</t>
  </si>
  <si>
    <t>VS 2019</t>
  </si>
  <si>
    <t>*) nach Abzug der Vorwegabzüge gemäß § 57 Abs. 4 Z 5 KAKuG (pauschal 15 Mio. Euro)</t>
  </si>
  <si>
    <t>Vorausanteil für die Gemeinden gemäß § 11 Abs. 7a FAG im Jahr 2015</t>
  </si>
  <si>
    <t>Vorausanteil für die Gemeinden gemäß § 11 Abs. 7a FAG im Jahr 2016</t>
  </si>
  <si>
    <t>Vorausanteil für die Gemeinden gemäß § 11 Abs. 7a FAG im Jahr 2017</t>
  </si>
  <si>
    <t>Vorausanteil für die Gemeinden gemäß § 11 Abs. 7a FAG im Jahr 2018</t>
  </si>
  <si>
    <t>Vorausanteil für die Gemeinden gemäß § 11 Abs. 7a FAG im Jahr 2019</t>
  </si>
  <si>
    <t>Kassenmäßige Ertragsanteile 2015, in Mio. Euro</t>
  </si>
  <si>
    <t>Kassenmäßige Ertragsanteile 2016, Stand April 2016, in Mio. Euro</t>
  </si>
  <si>
    <t>Kassenmäßige Ertragsanteile 2017, Stand April 2016, in Mio. Euro</t>
  </si>
  <si>
    <t>Kassenmäßige Ertragsanteile 2018, Stand April 2016, in Mio. Euro</t>
  </si>
  <si>
    <t>Kassenmäßige Ertragsanteile 2019, Stand April 2016, in Mio. Euro</t>
  </si>
  <si>
    <t>Kassenmäßige Ertragsanteile 2020, Stand April 2016, in Mio. Euro</t>
  </si>
  <si>
    <t>Vorausanteil für die Gemeinden gemäß § 11 Abs. 7a FAG im Jahr 2020</t>
  </si>
  <si>
    <t>Ertragsanteile 2020 Kassa, Gemeinden</t>
  </si>
  <si>
    <t>VS 2020 vor Abzug ehem. Landespflegegeld</t>
  </si>
  <si>
    <t>Ertragsanteile 2020 Kassa, Länder</t>
  </si>
  <si>
    <t>VS 2020</t>
  </si>
  <si>
    <t>Förderung v öffentl Pers.nv.untern. § 20(1)</t>
  </si>
  <si>
    <t>FZ § 21: ohne 16 Mio. Euro für Städte</t>
  </si>
  <si>
    <t>FZ § 21: 16 Mio. Euro für Städte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</si>
</sst>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öS&quot;;\-#,##0\ &quot;öS&quot;"/>
    <numFmt numFmtId="173" formatCode="#,##0\ &quot;öS&quot;;[Red]\-#,##0\ &quot;öS&quot;"/>
    <numFmt numFmtId="174" formatCode="#,##0.00\ &quot;öS&quot;;\-#,##0.00\ &quot;öS&quot;"/>
    <numFmt numFmtId="175" formatCode="#,##0.00\ &quot;öS&quot;;[Red]\-#,##0.00\ &quot;öS&quot;"/>
    <numFmt numFmtId="176" formatCode="_-* #,##0\ &quot;öS&quot;_-;\-* #,##0\ &quot;öS&quot;_-;_-* &quot;-&quot;\ &quot;öS&quot;_-;_-@_-"/>
    <numFmt numFmtId="177" formatCode="_-* #,##0\ _ö_S_-;\-* #,##0\ _ö_S_-;_-* &quot;-&quot;\ _ö_S_-;_-@_-"/>
    <numFmt numFmtId="178" formatCode="_-* #,##0.00\ &quot;öS&quot;_-;\-* #,##0.00\ &quot;öS&quot;_-;_-* &quot;-&quot;??\ &quot;öS&quot;_-;_-@_-"/>
    <numFmt numFmtId="179" formatCode="_-* #,##0.00\ _ö_S_-;\-* #,##0.00\ _ö_S_-;_-* &quot;-&quot;??\ _ö_S_-;_-@_-"/>
    <numFmt numFmtId="180" formatCode="#,##0.0"/>
    <numFmt numFmtId="181" formatCode="0.0%"/>
    <numFmt numFmtId="182" formatCode="#,##0.000"/>
    <numFmt numFmtId="183" formatCode="#,##0.0000"/>
    <numFmt numFmtId="184" formatCode="#,##0.00000"/>
    <numFmt numFmtId="185" formatCode="#,##0.000000"/>
    <numFmt numFmtId="186" formatCode="\+0.0%;\-0.0%;&quot;-&quot;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_-* #,##0.000\ _ö_S_-;\-* #,##0.000\ _ö_S_-;_-* &quot;-&quot;??\ _ö_S_-;_-@_-"/>
    <numFmt numFmtId="192" formatCode="_-* #,##0.0000\ _ö_S_-;\-* #,##0.0000\ _ö_S_-;_-* &quot;-&quot;??\ _ö_S_-;_-@_-"/>
    <numFmt numFmtId="193" formatCode="\+0.00%;0.00%;\-"/>
    <numFmt numFmtId="194" formatCode="\+0.0%;\-0.0%;&quot;+-0&quot;"/>
    <numFmt numFmtId="195" formatCode="\+0.0;\-0.0;&quot;+-0&quot;"/>
    <numFmt numFmtId="196" formatCode="0.0"/>
    <numFmt numFmtId="197" formatCode="\+0.00%;\-0.00%;\-"/>
    <numFmt numFmtId="198" formatCode="_-* #,##0_-;\-* #,##0_-;_-* &quot;-&quot;??_-;_-@_-"/>
    <numFmt numFmtId="199" formatCode="0.000%"/>
    <numFmt numFmtId="200" formatCode="0.000"/>
    <numFmt numFmtId="201" formatCode="0.0000"/>
    <numFmt numFmtId="202" formatCode="_-* #,##0.00\ _Ö_S_-;\-* #,##0.00\ _Ö_S_-;_-* &quot;-&quot;??\ _Ö_S_-;_-@_-"/>
    <numFmt numFmtId="203" formatCode="#,##0.0000000"/>
  </numFmts>
  <fonts count="45">
    <font>
      <sz val="10"/>
      <name val="Arial"/>
      <family val="0"/>
    </font>
    <font>
      <sz val="10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Helv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0" borderId="0" xfId="63" applyNumberFormat="1" applyFont="1" applyAlignment="1">
      <alignment horizontal="right"/>
      <protection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6" fillId="0" borderId="0" xfId="0" applyNumberFormat="1" applyFont="1" applyAlignment="1">
      <alignment/>
    </xf>
    <xf numFmtId="180" fontId="5" fillId="0" borderId="0" xfId="63" applyNumberFormat="1" applyFont="1" applyAlignment="1">
      <alignment horizontal="right"/>
      <protection/>
    </xf>
    <xf numFmtId="3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 quotePrefix="1">
      <alignment/>
    </xf>
    <xf numFmtId="182" fontId="7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82" fontId="5" fillId="0" borderId="0" xfId="63" applyNumberFormat="1" applyFont="1" applyAlignment="1">
      <alignment horizontal="right"/>
      <protection/>
    </xf>
    <xf numFmtId="4" fontId="6" fillId="0" borderId="0" xfId="0" applyNumberFormat="1" applyFont="1" applyAlignment="1">
      <alignment/>
    </xf>
    <xf numFmtId="182" fontId="0" fillId="0" borderId="0" xfId="0" applyNumberFormat="1" applyAlignment="1">
      <alignment/>
    </xf>
    <xf numFmtId="4" fontId="4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quotePrefix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63" applyNumberFormat="1" applyFont="1" applyFill="1" applyAlignment="1">
      <alignment horizontal="right"/>
      <protection/>
    </xf>
    <xf numFmtId="3" fontId="4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180" fontId="6" fillId="0" borderId="0" xfId="0" applyNumberFormat="1" applyFont="1" applyFill="1" applyAlignment="1">
      <alignment/>
    </xf>
    <xf numFmtId="180" fontId="5" fillId="0" borderId="0" xfId="63" applyNumberFormat="1" applyFont="1" applyFill="1" applyAlignment="1">
      <alignment horizontal="right"/>
      <protection/>
    </xf>
    <xf numFmtId="3" fontId="6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52" applyNumberFormat="1" applyAlignment="1">
      <alignment/>
    </xf>
    <xf numFmtId="3" fontId="0" fillId="0" borderId="0" xfId="0" applyNumberFormat="1" applyFont="1" applyAlignment="1">
      <alignment/>
    </xf>
    <xf numFmtId="180" fontId="6" fillId="0" borderId="0" xfId="0" applyNumberFormat="1" applyFont="1" applyFill="1" applyAlignment="1">
      <alignment/>
    </xf>
    <xf numFmtId="197" fontId="0" fillId="0" borderId="0" xfId="53" applyNumberFormat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97" fontId="0" fillId="0" borderId="0" xfId="55" applyNumberFormat="1" applyAlignment="1">
      <alignment/>
    </xf>
    <xf numFmtId="197" fontId="0" fillId="0" borderId="0" xfId="52" applyNumberFormat="1" applyFill="1" applyAlignment="1">
      <alignment/>
    </xf>
    <xf numFmtId="0" fontId="6" fillId="0" borderId="10" xfId="62" applyFont="1" applyFill="1" applyBorder="1">
      <alignment/>
      <protection/>
    </xf>
    <xf numFmtId="0" fontId="0" fillId="0" borderId="11" xfId="62" applyFill="1" applyBorder="1">
      <alignment/>
      <protection/>
    </xf>
    <xf numFmtId="0" fontId="0" fillId="0" borderId="12" xfId="62" applyFill="1" applyBorder="1">
      <alignment/>
      <protection/>
    </xf>
    <xf numFmtId="0" fontId="0" fillId="0" borderId="0" xfId="0" applyFill="1" applyBorder="1" applyAlignment="1">
      <alignment/>
    </xf>
    <xf numFmtId="0" fontId="6" fillId="0" borderId="13" xfId="62" applyFont="1" applyFill="1" applyBorder="1">
      <alignment/>
      <protection/>
    </xf>
    <xf numFmtId="0" fontId="0" fillId="0" borderId="0" xfId="62" applyFill="1" applyBorder="1">
      <alignment/>
      <protection/>
    </xf>
    <xf numFmtId="0" fontId="0" fillId="0" borderId="14" xfId="62" applyFill="1" applyBorder="1">
      <alignment/>
      <protection/>
    </xf>
    <xf numFmtId="0" fontId="0" fillId="0" borderId="13" xfId="62" applyFill="1" applyBorder="1">
      <alignment/>
      <protection/>
    </xf>
    <xf numFmtId="0" fontId="0" fillId="0" borderId="0" xfId="62" applyFill="1" applyBorder="1" applyAlignment="1">
      <alignment horizontal="right"/>
      <protection/>
    </xf>
    <xf numFmtId="0" fontId="0" fillId="0" borderId="14" xfId="62" applyFont="1" applyFill="1" applyBorder="1" applyAlignment="1">
      <alignment horizontal="right"/>
      <protection/>
    </xf>
    <xf numFmtId="3" fontId="0" fillId="0" borderId="0" xfId="62" applyNumberFormat="1" applyFill="1" applyBorder="1" applyAlignment="1">
      <alignment horizontal="right"/>
      <protection/>
    </xf>
    <xf numFmtId="3" fontId="4" fillId="0" borderId="14" xfId="62" applyNumberFormat="1" applyFont="1" applyFill="1" applyBorder="1" applyAlignment="1">
      <alignment horizontal="right"/>
      <protection/>
    </xf>
    <xf numFmtId="2" fontId="0" fillId="0" borderId="0" xfId="62" applyNumberFormat="1" applyFill="1" applyBorder="1" applyAlignment="1">
      <alignment horizontal="right"/>
      <protection/>
    </xf>
    <xf numFmtId="2" fontId="0" fillId="0" borderId="14" xfId="62" applyNumberFormat="1" applyFill="1" applyBorder="1">
      <alignment/>
      <protection/>
    </xf>
    <xf numFmtId="2" fontId="0" fillId="0" borderId="14" xfId="62" applyNumberFormat="1" applyFill="1" applyBorder="1" applyAlignment="1">
      <alignment horizontal="right"/>
      <protection/>
    </xf>
    <xf numFmtId="0" fontId="0" fillId="0" borderId="13" xfId="62" applyFont="1" applyFill="1" applyBorder="1">
      <alignment/>
      <protection/>
    </xf>
    <xf numFmtId="2" fontId="0" fillId="0" borderId="0" xfId="62" applyNumberFormat="1" applyFill="1" applyBorder="1">
      <alignment/>
      <protection/>
    </xf>
    <xf numFmtId="0" fontId="0" fillId="0" borderId="15" xfId="62" applyFill="1" applyBorder="1">
      <alignment/>
      <protection/>
    </xf>
    <xf numFmtId="2" fontId="0" fillId="0" borderId="16" xfId="62" applyNumberFormat="1" applyFill="1" applyBorder="1" applyAlignment="1">
      <alignment horizontal="right"/>
      <protection/>
    </xf>
    <xf numFmtId="2" fontId="0" fillId="0" borderId="16" xfId="62" applyNumberFormat="1" applyFill="1" applyBorder="1">
      <alignment/>
      <protection/>
    </xf>
    <xf numFmtId="2" fontId="0" fillId="0" borderId="17" xfId="62" applyNumberFormat="1" applyFill="1" applyBorder="1">
      <alignment/>
      <protection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3" fontId="0" fillId="0" borderId="0" xfId="62" applyNumberFormat="1" applyFill="1" applyBorder="1" applyAlignment="1">
      <alignment horizontal="left"/>
      <protection/>
    </xf>
    <xf numFmtId="180" fontId="0" fillId="0" borderId="0" xfId="60" applyNumberFormat="1" applyFill="1">
      <alignment/>
      <protection/>
    </xf>
    <xf numFmtId="0" fontId="0" fillId="0" borderId="0" xfId="60" applyFill="1">
      <alignment/>
      <protection/>
    </xf>
    <xf numFmtId="180" fontId="6" fillId="0" borderId="0" xfId="60" applyNumberFormat="1" applyFont="1" applyFill="1">
      <alignment/>
      <protection/>
    </xf>
    <xf numFmtId="0" fontId="0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4" fillId="0" borderId="0" xfId="60" applyFont="1" applyFill="1">
      <alignment/>
      <protection/>
    </xf>
    <xf numFmtId="3" fontId="3" fillId="0" borderId="0" xfId="60" applyNumberFormat="1" applyFont="1" applyFill="1">
      <alignment/>
      <protection/>
    </xf>
    <xf numFmtId="3" fontId="0" fillId="0" borderId="0" xfId="60" applyNumberFormat="1" applyFill="1">
      <alignment/>
      <protection/>
    </xf>
    <xf numFmtId="3" fontId="4" fillId="0" borderId="0" xfId="60" applyNumberFormat="1" applyFont="1" applyFill="1">
      <alignment/>
      <protection/>
    </xf>
    <xf numFmtId="4" fontId="4" fillId="0" borderId="0" xfId="60" applyNumberFormat="1" applyFont="1" applyFill="1">
      <alignment/>
      <protection/>
    </xf>
    <xf numFmtId="4" fontId="3" fillId="0" borderId="0" xfId="60" applyNumberFormat="1" applyFont="1" applyFill="1">
      <alignment/>
      <protection/>
    </xf>
    <xf numFmtId="4" fontId="6" fillId="0" borderId="0" xfId="60" applyNumberFormat="1" applyFont="1" applyFill="1">
      <alignment/>
      <protection/>
    </xf>
    <xf numFmtId="3" fontId="0" fillId="0" borderId="0" xfId="60" applyNumberFormat="1" applyFont="1" applyFill="1">
      <alignment/>
      <protection/>
    </xf>
    <xf numFmtId="3" fontId="6" fillId="0" borderId="0" xfId="60" applyNumberFormat="1" applyFont="1" applyFill="1">
      <alignment/>
      <protection/>
    </xf>
    <xf numFmtId="4" fontId="0" fillId="0" borderId="0" xfId="60" applyNumberFormat="1" applyFont="1" applyFill="1">
      <alignment/>
      <protection/>
    </xf>
    <xf numFmtId="197" fontId="0" fillId="0" borderId="0" xfId="54" applyNumberFormat="1" applyFill="1" applyAlignment="1">
      <alignment/>
    </xf>
    <xf numFmtId="3" fontId="4" fillId="0" borderId="0" xfId="0" applyNumberFormat="1" applyFont="1" applyFill="1" applyAlignment="1">
      <alignment horizontal="right"/>
    </xf>
    <xf numFmtId="4" fontId="0" fillId="0" borderId="14" xfId="62" applyNumberFormat="1" applyFont="1" applyFill="1" applyBorder="1" applyAlignment="1">
      <alignment horizontal="right"/>
      <protection/>
    </xf>
    <xf numFmtId="182" fontId="4" fillId="0" borderId="0" xfId="0" applyNumberFormat="1" applyFont="1" applyFill="1" applyAlignment="1">
      <alignment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Neutral" xfId="50"/>
    <cellStyle name="Notiz" xfId="51"/>
    <cellStyle name="Percent" xfId="52"/>
    <cellStyle name="Prozent 2" xfId="53"/>
    <cellStyle name="Prozent 2 2" xfId="54"/>
    <cellStyle name="Prozent 3" xfId="55"/>
    <cellStyle name="Prozent 4" xfId="56"/>
    <cellStyle name="Prozent 4 2" xfId="57"/>
    <cellStyle name="Prozent 5" xfId="58"/>
    <cellStyle name="Schlecht" xfId="59"/>
    <cellStyle name="Standard 2" xfId="60"/>
    <cellStyle name="Standard 3" xfId="61"/>
    <cellStyle name="Standard_EASM08j" xfId="62"/>
    <cellStyle name="Standard_EAVERT96" xfId="63"/>
    <cellStyle name="Überschrift" xfId="64"/>
    <cellStyle name="Überschrift 1" xfId="65"/>
    <cellStyle name="Überschrift 2" xfId="66"/>
    <cellStyle name="Überschrift 3" xfId="67"/>
    <cellStyle name="Überschrift 4" xfId="68"/>
    <cellStyle name="Verknüpfte Zelle" xfId="69"/>
    <cellStyle name="Currency" xfId="70"/>
    <cellStyle name="Currency [0]" xfId="71"/>
    <cellStyle name="Warnender Text" xfId="72"/>
    <cellStyle name="Zelle überprüfen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11" width="8.57421875" style="0" customWidth="1"/>
  </cols>
  <sheetData>
    <row r="1" ht="15.75">
      <c r="A1" s="1" t="s">
        <v>32</v>
      </c>
    </row>
    <row r="2" ht="12.75">
      <c r="A2" s="2"/>
    </row>
    <row r="5" spans="1:11" ht="12.75">
      <c r="A5" s="3" t="s">
        <v>33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5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</row>
    <row r="8" spans="1:11" ht="12.75">
      <c r="A8" s="5" t="s">
        <v>35</v>
      </c>
      <c r="B8" s="7">
        <f>1910.68254322023/(13.7603)</f>
        <v>138.85471561086786</v>
      </c>
      <c r="C8" s="7">
        <f>4815.06052914454/(13.7603)</f>
        <v>349.9240953427282</v>
      </c>
      <c r="D8" s="7">
        <f>12142.2077683866/(13.7603)</f>
        <v>882.4086515836539</v>
      </c>
      <c r="E8" s="7">
        <f>11889.887702832/(13.7603)</f>
        <v>864.0718373023825</v>
      </c>
      <c r="F8" s="7">
        <f>4998.0546043093/(13.7603)</f>
        <v>363.2227934208773</v>
      </c>
      <c r="G8" s="7">
        <f>9762.37505763145/(13.7603)</f>
        <v>709.4594636477004</v>
      </c>
      <c r="H8" s="7">
        <f>6158.92213812778/(13.7603)</f>
        <v>447.5863271969202</v>
      </c>
      <c r="I8" s="7">
        <f>3345.30997258381/(13.7603)</f>
        <v>243.1131568776702</v>
      </c>
      <c r="J8" s="7">
        <f>19830.7346518572/(13.7603)</f>
        <v>1441.1556907812442</v>
      </c>
      <c r="K8" s="8">
        <f>74853.2349680928/(13.7603)</f>
        <v>5439.796731764044</v>
      </c>
    </row>
    <row r="9" spans="1:11" ht="12.75">
      <c r="A9" s="5" t="s">
        <v>10</v>
      </c>
      <c r="B9" s="7">
        <f>97.1387457108682/(13.7603)</f>
        <v>7.059347958319814</v>
      </c>
      <c r="C9" s="7">
        <f>214.953829345131/(13.7603)</f>
        <v>15.62130399374514</v>
      </c>
      <c r="D9" s="7">
        <f>566.253800903041/(13.7603)</f>
        <v>41.151268569946936</v>
      </c>
      <c r="E9" s="7">
        <f>502.431031186284/(13.7603)</f>
        <v>36.513087010187604</v>
      </c>
      <c r="F9" s="7">
        <f>210.925017387631/(13.7603)</f>
        <v>15.328518810464258</v>
      </c>
      <c r="G9" s="7">
        <f>454.070757791758/(13.7603)</f>
        <v>32.99860888147479</v>
      </c>
      <c r="H9" s="7">
        <f>263.35688322591/(13.7603)</f>
        <v>19.138891101640976</v>
      </c>
      <c r="I9" s="7">
        <f>131.1168780073/(13.7603)</f>
        <v>9.528635132032019</v>
      </c>
      <c r="J9" s="7">
        <f>809.807858335812/(13.7603)</f>
        <v>58.851032196668065</v>
      </c>
      <c r="K9" s="8">
        <f>3250.05480189374/(13.7603)</f>
        <v>236.19069365447962</v>
      </c>
    </row>
    <row r="10" spans="1:11" ht="12.75">
      <c r="A10" s="9" t="s">
        <v>11</v>
      </c>
      <c r="B10" s="24">
        <f>2007.82128893109/(13.7603)</f>
        <v>145.91406356918768</v>
      </c>
      <c r="C10" s="24">
        <f>5030.01435848967/(13.7603)</f>
        <v>365.54539933647334</v>
      </c>
      <c r="D10" s="24">
        <f>12708.4615692896/(13.7603)</f>
        <v>923.5599201536008</v>
      </c>
      <c r="E10" s="24">
        <f>12392.3187340183/(13.7603)</f>
        <v>900.5849243125701</v>
      </c>
      <c r="F10" s="24">
        <f>5208.97962169693/(13.7603)</f>
        <v>378.55131223134157</v>
      </c>
      <c r="G10" s="24">
        <f>10216.4458154232/(13.7603)</f>
        <v>742.4580725291751</v>
      </c>
      <c r="H10" s="24">
        <f>6422.27902135369/(13.7603)</f>
        <v>466.7252182985612</v>
      </c>
      <c r="I10" s="24">
        <f>3476.42685059111/(13.7603)</f>
        <v>252.64179200970224</v>
      </c>
      <c r="J10" s="24">
        <f>20640.542510193/(13.7603)</f>
        <v>1500.006722977912</v>
      </c>
      <c r="K10" s="10">
        <f>78103.2897699865/(13.7603)</f>
        <v>5675.987425418524</v>
      </c>
    </row>
    <row r="11" spans="1:12" ht="12.75">
      <c r="A11" s="9" t="s">
        <v>12</v>
      </c>
      <c r="B11" s="7">
        <v>0</v>
      </c>
      <c r="C11" s="7">
        <v>1.3957912981548368</v>
      </c>
      <c r="D11" s="7">
        <v>2.065890423900642</v>
      </c>
      <c r="E11" s="7">
        <v>1.5896681031663553</v>
      </c>
      <c r="F11" s="7">
        <v>1.296884588272058</v>
      </c>
      <c r="G11" s="7">
        <v>1.574048385572989</v>
      </c>
      <c r="H11" s="7">
        <v>3.0989737142358815</v>
      </c>
      <c r="I11" s="7">
        <v>2.45408850097745</v>
      </c>
      <c r="J11" s="7">
        <v>3.7864816900794316</v>
      </c>
      <c r="K11" s="8">
        <v>17.261826704359645</v>
      </c>
      <c r="L11" s="11"/>
    </row>
    <row r="12" spans="1:12" ht="12.75">
      <c r="A12" s="3" t="s">
        <v>11</v>
      </c>
      <c r="B12" s="24">
        <f>B10+B11</f>
        <v>145.91406356918768</v>
      </c>
      <c r="C12" s="24">
        <f aca="true" t="shared" si="0" ref="C12:K12">C10+C11</f>
        <v>366.9411906346282</v>
      </c>
      <c r="D12" s="24">
        <f t="shared" si="0"/>
        <v>925.6258105775015</v>
      </c>
      <c r="E12" s="24">
        <f t="shared" si="0"/>
        <v>902.1745924157365</v>
      </c>
      <c r="F12" s="24">
        <f t="shared" si="0"/>
        <v>379.84819681961363</v>
      </c>
      <c r="G12" s="24">
        <f t="shared" si="0"/>
        <v>744.032120914748</v>
      </c>
      <c r="H12" s="24">
        <f t="shared" si="0"/>
        <v>469.824192012797</v>
      </c>
      <c r="I12" s="24">
        <f t="shared" si="0"/>
        <v>255.0958805106797</v>
      </c>
      <c r="J12" s="24">
        <f t="shared" si="0"/>
        <v>1503.7932046679914</v>
      </c>
      <c r="K12" s="24">
        <f t="shared" si="0"/>
        <v>5693.249252122884</v>
      </c>
      <c r="L12" s="12"/>
    </row>
    <row r="13" spans="1:11" ht="12.75">
      <c r="A13" s="5"/>
      <c r="B13" s="12"/>
      <c r="C13" s="12"/>
      <c r="D13" s="12"/>
      <c r="E13" s="12"/>
      <c r="F13" s="12"/>
      <c r="G13" s="12"/>
      <c r="H13" s="12"/>
      <c r="I13" s="12"/>
      <c r="J13" s="12"/>
      <c r="K13" s="13"/>
    </row>
    <row r="14" spans="1:11" ht="12.75">
      <c r="A14" s="3" t="s">
        <v>36</v>
      </c>
      <c r="B14" s="12"/>
      <c r="C14" s="12"/>
      <c r="D14" s="12"/>
      <c r="E14" s="12"/>
      <c r="F14" s="12"/>
      <c r="G14" s="12"/>
      <c r="H14" s="12"/>
      <c r="I14" s="12"/>
      <c r="J14" s="12"/>
      <c r="K14" s="13"/>
    </row>
    <row r="15" spans="1:11" ht="12.75">
      <c r="A15" s="5" t="s">
        <v>34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ht="12.75">
      <c r="A16" s="5"/>
      <c r="B16" s="14" t="s">
        <v>0</v>
      </c>
      <c r="C16" s="14" t="s">
        <v>1</v>
      </c>
      <c r="D16" s="14" t="s">
        <v>2</v>
      </c>
      <c r="E16" s="14" t="s">
        <v>3</v>
      </c>
      <c r="F16" s="14" t="s">
        <v>4</v>
      </c>
      <c r="G16" s="14" t="s">
        <v>5</v>
      </c>
      <c r="H16" s="14" t="s">
        <v>6</v>
      </c>
      <c r="I16" s="14" t="s">
        <v>7</v>
      </c>
      <c r="J16" s="14" t="s">
        <v>8</v>
      </c>
      <c r="K16" s="14" t="s">
        <v>9</v>
      </c>
    </row>
    <row r="17" spans="1:11" ht="12.75">
      <c r="A17" s="5" t="s">
        <v>35</v>
      </c>
      <c r="B17" s="7">
        <f>2818.09056166961/(13.7603)</f>
        <v>204.79862805822648</v>
      </c>
      <c r="C17" s="7">
        <f>5994.99064863302/(13.7603)</f>
        <v>435.6729612459774</v>
      </c>
      <c r="D17" s="7">
        <f>16069.5361228934/(13.7603)</f>
        <v>1167.818733813462</v>
      </c>
      <c r="E17" s="7">
        <f>14842.4675071691/(13.7603)</f>
        <v>1078.6441797903458</v>
      </c>
      <c r="F17" s="7">
        <f>5686.67518988921/(13.7603)</f>
        <v>413.2668030413009</v>
      </c>
      <c r="G17" s="7">
        <f>12786.3292753557/(13.7603)</f>
        <v>929.2187870435763</v>
      </c>
      <c r="H17" s="7">
        <f>7402.84275225052/(13.7603)</f>
        <v>537.9855637050445</v>
      </c>
      <c r="I17" s="7">
        <f>4025.89862405292/(13.7603)</f>
        <v>292.5734630824124</v>
      </c>
      <c r="J17" s="7">
        <f>18320.1217033607/(13.7603)</f>
        <v>1331.3751664833385</v>
      </c>
      <c r="K17" s="8">
        <f>87946.9523852742/(13.7603)</f>
        <v>6391.354286263683</v>
      </c>
    </row>
    <row r="18" spans="1:11" ht="12.75">
      <c r="A18" s="5" t="s">
        <v>10</v>
      </c>
      <c r="B18" s="7">
        <f>214.241863429542/(13.7603)</f>
        <v>15.569563412828366</v>
      </c>
      <c r="C18" s="7">
        <f>460.143888786766/(13.7603)</f>
        <v>33.4399605231547</v>
      </c>
      <c r="D18" s="7">
        <f>1266.6017550204/(13.7603)</f>
        <v>92.04753929931735</v>
      </c>
      <c r="E18" s="7">
        <f>1188.40051270524/(13.7603)</f>
        <v>86.36443338482766</v>
      </c>
      <c r="F18" s="7">
        <f>443.642664048906/(13.7603)</f>
        <v>32.24076975421367</v>
      </c>
      <c r="G18" s="7">
        <f>1034.69645106154/(13.7603)</f>
        <v>75.19432360206835</v>
      </c>
      <c r="H18" s="7">
        <f>546.565814482447/(13.7603)</f>
        <v>39.72048679770403</v>
      </c>
      <c r="I18" s="7">
        <f>320.081973850388/(13.7603)</f>
        <v>23.261264205750425</v>
      </c>
      <c r="J18" s="7">
        <f>1453.50645466499/(13.7603)</f>
        <v>105.63043354178227</v>
      </c>
      <c r="K18" s="8">
        <f>6927.88137805022/(13.7603)</f>
        <v>503.4687745216469</v>
      </c>
    </row>
    <row r="19" spans="1:11" ht="12.75">
      <c r="A19" s="9" t="s">
        <v>11</v>
      </c>
      <c r="B19" s="24">
        <f>3032.33242509916/(13.7603)</f>
        <v>220.36819147105487</v>
      </c>
      <c r="C19" s="24">
        <f>6455.13453741979/(13.7603)</f>
        <v>469.1129217691321</v>
      </c>
      <c r="D19" s="24">
        <f>17336.1378779138/(13.7603)</f>
        <v>1259.8662731127793</v>
      </c>
      <c r="E19" s="24">
        <f>16030.8680198743/(13.7603)</f>
        <v>1165.0086131751734</v>
      </c>
      <c r="F19" s="24">
        <f>6130.31785393812/(13.7603)</f>
        <v>445.50757279551453</v>
      </c>
      <c r="G19" s="24">
        <f>13821.0257264173/(13.7603)</f>
        <v>1004.4131106456446</v>
      </c>
      <c r="H19" s="24">
        <f>7949.40856673297/(13.7603)</f>
        <v>577.7060505027484</v>
      </c>
      <c r="I19" s="24">
        <f>4345.98059790331/(13.7603)</f>
        <v>315.8347272881628</v>
      </c>
      <c r="J19" s="24">
        <f>19773.6281580257/(13.7603)</f>
        <v>1437.0056000251207</v>
      </c>
      <c r="K19" s="10">
        <f>94874.8337633244/(13.7603)</f>
        <v>6894.823060785331</v>
      </c>
    </row>
    <row r="20" spans="1:12" ht="12.75">
      <c r="A20" s="9" t="s">
        <v>12</v>
      </c>
      <c r="B20" s="7">
        <v>0</v>
      </c>
      <c r="C20" s="7">
        <v>1.1777727956512576</v>
      </c>
      <c r="D20" s="7">
        <v>1.8478719213970627</v>
      </c>
      <c r="E20" s="7">
        <v>1.3716496006627763</v>
      </c>
      <c r="F20" s="7">
        <v>0.9856876666933134</v>
      </c>
      <c r="G20" s="7">
        <v>1.3560298830694097</v>
      </c>
      <c r="H20" s="7">
        <v>2.4449184247436464</v>
      </c>
      <c r="I20" s="7">
        <v>2.018051277951789</v>
      </c>
      <c r="J20" s="7">
        <v>3.568463187575852</v>
      </c>
      <c r="K20" s="8">
        <v>14.770444757745107</v>
      </c>
      <c r="L20" s="11"/>
    </row>
    <row r="21" spans="1:11" ht="12.75">
      <c r="A21" s="3" t="s">
        <v>11</v>
      </c>
      <c r="B21" s="24">
        <f>B19+B20</f>
        <v>220.36819147105487</v>
      </c>
      <c r="C21" s="24">
        <f aca="true" t="shared" si="1" ref="C21:K21">C19+C20</f>
        <v>470.29069456478334</v>
      </c>
      <c r="D21" s="24">
        <f t="shared" si="1"/>
        <v>1261.7141450341762</v>
      </c>
      <c r="E21" s="24">
        <f t="shared" si="1"/>
        <v>1166.3802627758362</v>
      </c>
      <c r="F21" s="24">
        <f t="shared" si="1"/>
        <v>446.49326046220784</v>
      </c>
      <c r="G21" s="24">
        <f t="shared" si="1"/>
        <v>1005.7691405287139</v>
      </c>
      <c r="H21" s="24">
        <f t="shared" si="1"/>
        <v>580.150968927492</v>
      </c>
      <c r="I21" s="24">
        <f t="shared" si="1"/>
        <v>317.8527785661146</v>
      </c>
      <c r="J21" s="24">
        <f t="shared" si="1"/>
        <v>1440.5740632126965</v>
      </c>
      <c r="K21" s="24">
        <f t="shared" si="1"/>
        <v>6909.593505543076</v>
      </c>
    </row>
    <row r="22" spans="1:11" ht="12.75">
      <c r="A22" s="4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15" t="s">
        <v>37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 t="s">
        <v>38</v>
      </c>
      <c r="B25" s="14" t="s">
        <v>0</v>
      </c>
      <c r="C25" s="14" t="s">
        <v>1</v>
      </c>
      <c r="D25" s="14" t="s">
        <v>2</v>
      </c>
      <c r="E25" s="14" t="s">
        <v>3</v>
      </c>
      <c r="F25" s="14" t="s">
        <v>4</v>
      </c>
      <c r="G25" s="14" t="s">
        <v>5</v>
      </c>
      <c r="H25" s="14" t="s">
        <v>6</v>
      </c>
      <c r="I25" s="14" t="s">
        <v>7</v>
      </c>
      <c r="J25" s="14" t="s">
        <v>8</v>
      </c>
      <c r="K25" s="14" t="s">
        <v>9</v>
      </c>
    </row>
    <row r="26" spans="1:11" ht="12.75">
      <c r="A26" s="4" t="s">
        <v>39</v>
      </c>
      <c r="B26" s="19">
        <v>20.9971439576172</v>
      </c>
      <c r="C26" s="19">
        <v>42.45953939957704</v>
      </c>
      <c r="D26" s="19">
        <v>114.23043102257945</v>
      </c>
      <c r="E26" s="19">
        <v>103.35421466101755</v>
      </c>
      <c r="F26" s="19">
        <v>37.390027833695484</v>
      </c>
      <c r="G26" s="19">
        <v>91.82546892146247</v>
      </c>
      <c r="H26" s="19">
        <v>48.93694178179254</v>
      </c>
      <c r="I26" s="19">
        <v>25.692027063363444</v>
      </c>
      <c r="J26" s="19">
        <v>119.3483426960168</v>
      </c>
      <c r="K26" s="10">
        <v>604.234137337122</v>
      </c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15" t="s">
        <v>40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15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5"/>
      <c r="B34" s="6" t="s">
        <v>0</v>
      </c>
      <c r="C34" s="6" t="s">
        <v>1</v>
      </c>
      <c r="D34" s="6" t="s">
        <v>2</v>
      </c>
      <c r="E34" s="6" t="s">
        <v>3</v>
      </c>
      <c r="F34" s="6" t="s">
        <v>4</v>
      </c>
      <c r="G34" s="6" t="s">
        <v>5</v>
      </c>
      <c r="H34" s="6" t="s">
        <v>6</v>
      </c>
      <c r="I34" s="6" t="s">
        <v>7</v>
      </c>
      <c r="J34" s="6" t="s">
        <v>8</v>
      </c>
      <c r="K34" s="6" t="s">
        <v>9</v>
      </c>
    </row>
    <row r="35" spans="1:11" ht="12.75">
      <c r="A35" s="5" t="s">
        <v>35</v>
      </c>
      <c r="B35" s="19">
        <f>30.5251590787769/(13.7603)</f>
        <v>2.2183498236794907</v>
      </c>
      <c r="C35" s="19">
        <f>103.529641330654/(13.7603)</f>
        <v>7.523792455880622</v>
      </c>
      <c r="D35" s="19">
        <f>185.039736770949/(13.7603)</f>
        <v>13.44736210481959</v>
      </c>
      <c r="E35" s="19">
        <f>177.752692807233/(13.7603)</f>
        <v>12.917791967270555</v>
      </c>
      <c r="F35" s="19">
        <f>114.86233512038/(13.7603)</f>
        <v>8.34737143233648</v>
      </c>
      <c r="G35" s="19">
        <f>159.461968744461/(13.7603)</f>
        <v>11.588553210646635</v>
      </c>
      <c r="H35" s="19">
        <f>176.838765888707/(13.7603)</f>
        <v>12.851374307878954</v>
      </c>
      <c r="I35" s="19">
        <f>58.6253654003975/(13.7603)</f>
        <v>4.260471457773265</v>
      </c>
      <c r="J35" s="19">
        <f>211.933559560115/(13.7603)</f>
        <v>15.40181242851645</v>
      </c>
      <c r="K35" s="24">
        <f>1218.56922470167/(13.7603)</f>
        <v>88.55687918880204</v>
      </c>
    </row>
    <row r="36" spans="1:11" ht="12.75">
      <c r="A36" s="5" t="s">
        <v>10</v>
      </c>
      <c r="B36" s="19">
        <f aca="true" t="shared" si="2" ref="B36:K36">0/(13.7603)</f>
        <v>0</v>
      </c>
      <c r="C36" s="19">
        <f t="shared" si="2"/>
        <v>0</v>
      </c>
      <c r="D36" s="19">
        <f t="shared" si="2"/>
        <v>0</v>
      </c>
      <c r="E36" s="19">
        <f t="shared" si="2"/>
        <v>0</v>
      </c>
      <c r="F36" s="19">
        <f t="shared" si="2"/>
        <v>0</v>
      </c>
      <c r="G36" s="19">
        <f t="shared" si="2"/>
        <v>0</v>
      </c>
      <c r="H36" s="19">
        <f t="shared" si="2"/>
        <v>0</v>
      </c>
      <c r="I36" s="19">
        <f t="shared" si="2"/>
        <v>0</v>
      </c>
      <c r="J36" s="19">
        <f t="shared" si="2"/>
        <v>0</v>
      </c>
      <c r="K36" s="24">
        <f t="shared" si="2"/>
        <v>0</v>
      </c>
    </row>
    <row r="37" spans="1:11" ht="12.75">
      <c r="A37" s="17" t="s">
        <v>11</v>
      </c>
      <c r="B37" s="10">
        <f>30.5251590787769/(13.7603)</f>
        <v>2.2183498236794907</v>
      </c>
      <c r="C37" s="10">
        <f>103.529641330654/(13.7603)</f>
        <v>7.523792455880622</v>
      </c>
      <c r="D37" s="10">
        <f>185.039736770949/(13.7603)</f>
        <v>13.44736210481959</v>
      </c>
      <c r="E37" s="10">
        <f>177.752692807233/(13.7603)</f>
        <v>12.917791967270555</v>
      </c>
      <c r="F37" s="10">
        <f>114.86233512038/(13.7603)</f>
        <v>8.34737143233648</v>
      </c>
      <c r="G37" s="10">
        <f>159.461968744461/(13.7603)</f>
        <v>11.588553210646635</v>
      </c>
      <c r="H37" s="10">
        <f>176.838765888707/(13.7603)</f>
        <v>12.851374307878954</v>
      </c>
      <c r="I37" s="10">
        <f>58.6253654003975/(13.7603)</f>
        <v>4.260471457773265</v>
      </c>
      <c r="J37" s="10">
        <f>211.933559560115/(13.7603)</f>
        <v>15.40181242851645</v>
      </c>
      <c r="K37" s="24">
        <f>1218.56922470167/(13.7603)</f>
        <v>88.55687918880204</v>
      </c>
    </row>
    <row r="38" spans="1:11" ht="12.75">
      <c r="A38" s="4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>
      <c r="A39" s="15" t="s">
        <v>17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5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5"/>
      <c r="B41" s="14" t="s">
        <v>0</v>
      </c>
      <c r="C41" s="14" t="s">
        <v>1</v>
      </c>
      <c r="D41" s="14" t="s">
        <v>2</v>
      </c>
      <c r="E41" s="14" t="s">
        <v>3</v>
      </c>
      <c r="F41" s="14" t="s">
        <v>4</v>
      </c>
      <c r="G41" s="14" t="s">
        <v>5</v>
      </c>
      <c r="H41" s="14" t="s">
        <v>6</v>
      </c>
      <c r="I41" s="14" t="s">
        <v>7</v>
      </c>
      <c r="J41" s="14" t="s">
        <v>8</v>
      </c>
      <c r="K41" s="14" t="s">
        <v>9</v>
      </c>
    </row>
    <row r="42" spans="1:11" ht="12.75">
      <c r="A42" s="5" t="s">
        <v>35</v>
      </c>
      <c r="B42" s="19">
        <f>0.203160503358/(13.7603)</f>
        <v>0.014764249569994838</v>
      </c>
      <c r="C42" s="19">
        <f>1.754411465439/(13.7603)</f>
        <v>0.12749805349004018</v>
      </c>
      <c r="D42" s="19">
        <f>24.914708848251/(13.7603)</f>
        <v>1.8106225044694517</v>
      </c>
      <c r="E42" s="19">
        <f>12.478875663888/(13.7603)</f>
        <v>0.9068752617230729</v>
      </c>
      <c r="F42" s="19">
        <f>8.500028856597/(13.7603)</f>
        <v>0.6177211875174959</v>
      </c>
      <c r="G42" s="19">
        <f>4.26981396888/(13.7603)</f>
        <v>0.31029948248802713</v>
      </c>
      <c r="H42" s="19">
        <f>1.854270017937/(13.7603)</f>
        <v>0.13475505751596986</v>
      </c>
      <c r="I42" s="19">
        <f>1.372194247257/(13.7603)</f>
        <v>0.09972124497699904</v>
      </c>
      <c r="J42" s="19">
        <f>116.822454528393/(13.7603)</f>
        <v>8.489818865024237</v>
      </c>
      <c r="K42" s="19">
        <f>172.1699181/(13.7603)</f>
        <v>12.512075906775289</v>
      </c>
    </row>
    <row r="43" spans="1:11" ht="12.75">
      <c r="A43" s="5" t="s">
        <v>10</v>
      </c>
      <c r="B43" s="19">
        <f aca="true" t="shared" si="3" ref="B43:K43">0/(13.7603)</f>
        <v>0</v>
      </c>
      <c r="C43" s="19">
        <f t="shared" si="3"/>
        <v>0</v>
      </c>
      <c r="D43" s="19">
        <f t="shared" si="3"/>
        <v>0</v>
      </c>
      <c r="E43" s="19">
        <f t="shared" si="3"/>
        <v>0</v>
      </c>
      <c r="F43" s="19">
        <f t="shared" si="3"/>
        <v>0</v>
      </c>
      <c r="G43" s="19">
        <f t="shared" si="3"/>
        <v>0</v>
      </c>
      <c r="H43" s="19">
        <f t="shared" si="3"/>
        <v>0</v>
      </c>
      <c r="I43" s="19">
        <f t="shared" si="3"/>
        <v>0</v>
      </c>
      <c r="J43" s="19">
        <f t="shared" si="3"/>
        <v>0</v>
      </c>
      <c r="K43" s="19">
        <f t="shared" si="3"/>
        <v>0</v>
      </c>
    </row>
    <row r="44" spans="1:11" ht="12.75">
      <c r="A44" s="17" t="s">
        <v>11</v>
      </c>
      <c r="B44" s="10">
        <f>0.203160503358/(13.7603)</f>
        <v>0.014764249569994838</v>
      </c>
      <c r="C44" s="10">
        <f>1.754411465439/(13.7603)</f>
        <v>0.12749805349004018</v>
      </c>
      <c r="D44" s="10">
        <f>24.914708848251/(13.7603)</f>
        <v>1.8106225044694517</v>
      </c>
      <c r="E44" s="10">
        <f>12.478875663888/(13.7603)</f>
        <v>0.9068752617230729</v>
      </c>
      <c r="F44" s="10">
        <f>8.500028856597/(13.7603)</f>
        <v>0.6177211875174959</v>
      </c>
      <c r="G44" s="10">
        <f>4.26981396888/(13.7603)</f>
        <v>0.31029948248802713</v>
      </c>
      <c r="H44" s="10">
        <f>1.854270017937/(13.7603)</f>
        <v>0.13475505751596986</v>
      </c>
      <c r="I44" s="10">
        <f>1.372194247257/(13.7603)</f>
        <v>0.09972124497699904</v>
      </c>
      <c r="J44" s="10">
        <f>116.822454528393/(13.7603)</f>
        <v>8.489818865024237</v>
      </c>
      <c r="K44" s="10">
        <f>172.1699181/(13.7603)</f>
        <v>12.512075906775289</v>
      </c>
    </row>
    <row r="45" spans="1:11" ht="12.75">
      <c r="A45" s="4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.75">
      <c r="A46" s="15" t="s">
        <v>18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2.75">
      <c r="A47" s="5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.75">
      <c r="A48" s="5"/>
      <c r="B48" s="14" t="s">
        <v>0</v>
      </c>
      <c r="C48" s="14" t="s">
        <v>1</v>
      </c>
      <c r="D48" s="14" t="s">
        <v>2</v>
      </c>
      <c r="E48" s="14" t="s">
        <v>3</v>
      </c>
      <c r="F48" s="14" t="s">
        <v>4</v>
      </c>
      <c r="G48" s="14" t="s">
        <v>5</v>
      </c>
      <c r="H48" s="14" t="s">
        <v>6</v>
      </c>
      <c r="I48" s="14" t="s">
        <v>7</v>
      </c>
      <c r="J48" s="14" t="s">
        <v>8</v>
      </c>
      <c r="K48" s="14" t="s">
        <v>9</v>
      </c>
    </row>
    <row r="49" spans="1:11" ht="12.75">
      <c r="A49" s="5" t="s">
        <v>35</v>
      </c>
      <c r="B49" s="19">
        <f>0.664709361569443/(13.7603)</f>
        <v>0.048306313203160006</v>
      </c>
      <c r="C49" s="19">
        <f>1.34423530289803/(13.7603)</f>
        <v>0.097689389250091</v>
      </c>
      <c r="D49" s="19">
        <f>3.61657301499832/(13.7603)</f>
        <v>0.2628266109749294</v>
      </c>
      <c r="E49" s="19">
        <f>3.27221145697586/(13.7603)</f>
        <v>0.23780088057497717</v>
      </c>
      <c r="F49" s="19">
        <f>1.18367000588247/(13.7603)</f>
        <v>0.0860206540469665</v>
      </c>
      <c r="G49" s="19">
        <f>2.90717097917362/(13.7603)</f>
        <v>0.21127235446709883</v>
      </c>
      <c r="H49" s="19">
        <f>1.54940984195423/(13.7603)</f>
        <v>0.11260000450238948</v>
      </c>
      <c r="I49" s="19">
        <f>0.813395383557835/(13.7603)</f>
        <v>0.05911174782220119</v>
      </c>
      <c r="J49" s="19">
        <f>3.77861555299019/(13.7603)</f>
        <v>0.27460270146655175</v>
      </c>
      <c r="K49" s="19">
        <f>19.1299909/(13.7603)</f>
        <v>1.390230656308365</v>
      </c>
    </row>
    <row r="50" spans="1:11" ht="12.75">
      <c r="A50" s="5" t="s">
        <v>10</v>
      </c>
      <c r="B50" s="19">
        <f aca="true" t="shared" si="4" ref="B50:K50">0/(13.7603)</f>
        <v>0</v>
      </c>
      <c r="C50" s="19">
        <f t="shared" si="4"/>
        <v>0</v>
      </c>
      <c r="D50" s="19">
        <f t="shared" si="4"/>
        <v>0</v>
      </c>
      <c r="E50" s="19">
        <f t="shared" si="4"/>
        <v>0</v>
      </c>
      <c r="F50" s="19">
        <f t="shared" si="4"/>
        <v>0</v>
      </c>
      <c r="G50" s="19">
        <f t="shared" si="4"/>
        <v>0</v>
      </c>
      <c r="H50" s="19">
        <f t="shared" si="4"/>
        <v>0</v>
      </c>
      <c r="I50" s="19">
        <f t="shared" si="4"/>
        <v>0</v>
      </c>
      <c r="J50" s="19">
        <f t="shared" si="4"/>
        <v>0</v>
      </c>
      <c r="K50" s="19">
        <f t="shared" si="4"/>
        <v>0</v>
      </c>
    </row>
    <row r="51" spans="1:11" ht="12.75">
      <c r="A51" s="17" t="s">
        <v>11</v>
      </c>
      <c r="B51" s="10">
        <f>0.664709361569443/(13.7603)</f>
        <v>0.048306313203160006</v>
      </c>
      <c r="C51" s="10">
        <f>1.34423530289803/(13.7603)</f>
        <v>0.097689389250091</v>
      </c>
      <c r="D51" s="10">
        <f>3.61657301499832/(13.7603)</f>
        <v>0.2628266109749294</v>
      </c>
      <c r="E51" s="10">
        <f>3.27221145697586/(13.7603)</f>
        <v>0.23780088057497717</v>
      </c>
      <c r="F51" s="10">
        <f>1.18367000588247/(13.7603)</f>
        <v>0.0860206540469665</v>
      </c>
      <c r="G51" s="10">
        <f>2.90717097917362/(13.7603)</f>
        <v>0.21127235446709883</v>
      </c>
      <c r="H51" s="10">
        <f>1.54940984195423/(13.7603)</f>
        <v>0.11260000450238948</v>
      </c>
      <c r="I51" s="10">
        <f>0.813395383557835/(13.7603)</f>
        <v>0.05911174782220119</v>
      </c>
      <c r="J51" s="10">
        <f>3.77861555299019/(13.7603)</f>
        <v>0.27460270146655175</v>
      </c>
      <c r="K51" s="10">
        <f>19.1299909/(13.7603)</f>
        <v>1.390230656308365</v>
      </c>
    </row>
    <row r="54" ht="12.75">
      <c r="A54" s="9"/>
    </row>
  </sheetData>
  <sheetProtection/>
  <printOptions/>
  <pageMargins left="0.62" right="0.55" top="0.984251969" bottom="0.984251969" header="0.4921259845" footer="0.4921259845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30" customWidth="1"/>
    <col min="2" max="10" width="8.57421875" style="30" customWidth="1"/>
    <col min="11" max="11" width="9.140625" style="30" bestFit="1" customWidth="1"/>
    <col min="12" max="16384" width="11.421875" style="30" customWidth="1"/>
  </cols>
  <sheetData>
    <row r="1" ht="15.75">
      <c r="A1" s="29" t="s">
        <v>71</v>
      </c>
    </row>
    <row r="2" ht="12.75">
      <c r="A2" s="45"/>
    </row>
    <row r="5" spans="1:11" ht="12.75">
      <c r="A5" s="32" t="s">
        <v>64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34"/>
      <c r="B7" s="35" t="s">
        <v>0</v>
      </c>
      <c r="C7" s="35" t="s">
        <v>1</v>
      </c>
      <c r="D7" s="35" t="s">
        <v>2</v>
      </c>
      <c r="E7" s="35" t="s">
        <v>3</v>
      </c>
      <c r="F7" s="35" t="s">
        <v>4</v>
      </c>
      <c r="G7" s="35" t="s">
        <v>5</v>
      </c>
      <c r="H7" s="35" t="s">
        <v>6</v>
      </c>
      <c r="I7" s="35" t="s">
        <v>7</v>
      </c>
      <c r="J7" s="35" t="s">
        <v>8</v>
      </c>
      <c r="K7" s="35" t="s">
        <v>9</v>
      </c>
    </row>
    <row r="8" spans="1:11" ht="12.75">
      <c r="A8" s="34" t="s">
        <v>65</v>
      </c>
      <c r="B8" s="26">
        <v>191.59656032453037</v>
      </c>
      <c r="C8" s="26">
        <v>472.0835669665361</v>
      </c>
      <c r="D8" s="26">
        <v>1223.3198221566706</v>
      </c>
      <c r="E8" s="26">
        <v>1170.3864484814037</v>
      </c>
      <c r="F8" s="26">
        <v>514.1613453124105</v>
      </c>
      <c r="G8" s="26">
        <v>945.2182598644434</v>
      </c>
      <c r="H8" s="26">
        <v>638.4376315572327</v>
      </c>
      <c r="I8" s="26">
        <v>340.6565445821758</v>
      </c>
      <c r="J8" s="26">
        <v>1897.8953160880828</v>
      </c>
      <c r="K8" s="27">
        <v>7393.755495333486</v>
      </c>
    </row>
    <row r="9" spans="1:11" ht="12.75">
      <c r="A9" s="34" t="s">
        <v>10</v>
      </c>
      <c r="B9" s="26">
        <v>1.8942885320360947</v>
      </c>
      <c r="C9" s="26">
        <v>4.79393679716927</v>
      </c>
      <c r="D9" s="26">
        <v>12.845609831030947</v>
      </c>
      <c r="E9" s="26">
        <v>11.774744292807766</v>
      </c>
      <c r="F9" s="26">
        <v>3.4905455440987136</v>
      </c>
      <c r="G9" s="26">
        <v>7.606139278862276</v>
      </c>
      <c r="H9" s="26">
        <v>7.15739833734266</v>
      </c>
      <c r="I9" s="26">
        <v>4.615036428362189</v>
      </c>
      <c r="J9" s="26">
        <v>17.254143753853395</v>
      </c>
      <c r="K9" s="27">
        <v>71.43184279556331</v>
      </c>
    </row>
    <row r="10" spans="1:11" ht="12.75">
      <c r="A10" s="36" t="s">
        <v>11</v>
      </c>
      <c r="B10" s="37">
        <v>193.49084885656646</v>
      </c>
      <c r="C10" s="37">
        <v>476.8775037637054</v>
      </c>
      <c r="D10" s="37">
        <v>1236.1654319877016</v>
      </c>
      <c r="E10" s="37">
        <v>1182.1611927742115</v>
      </c>
      <c r="F10" s="37">
        <v>517.6518908565092</v>
      </c>
      <c r="G10" s="37">
        <v>952.8243991433058</v>
      </c>
      <c r="H10" s="37">
        <v>645.5950298945754</v>
      </c>
      <c r="I10" s="37">
        <v>345.271581010538</v>
      </c>
      <c r="J10" s="37">
        <v>1915.1494598419363</v>
      </c>
      <c r="K10" s="37">
        <v>7465.187338129049</v>
      </c>
    </row>
    <row r="11" spans="1:11" ht="12.75">
      <c r="A11" s="36" t="s">
        <v>12</v>
      </c>
      <c r="B11" s="26">
        <v>0</v>
      </c>
      <c r="C11" s="26">
        <v>1.401496</v>
      </c>
      <c r="D11" s="26">
        <v>1.18779</v>
      </c>
      <c r="E11" s="26">
        <v>1.268965</v>
      </c>
      <c r="F11" s="26">
        <v>1.195355</v>
      </c>
      <c r="G11" s="26">
        <v>0.929836</v>
      </c>
      <c r="H11" s="26">
        <v>3.222441</v>
      </c>
      <c r="I11" s="26">
        <v>2.726742</v>
      </c>
      <c r="J11" s="26">
        <v>2.853478</v>
      </c>
      <c r="K11" s="27">
        <v>14.786102999999999</v>
      </c>
    </row>
    <row r="12" spans="1:11" ht="12.75">
      <c r="A12" s="32" t="s">
        <v>11</v>
      </c>
      <c r="B12" s="37">
        <v>193.49084885656646</v>
      </c>
      <c r="C12" s="37">
        <v>478.27899976370543</v>
      </c>
      <c r="D12" s="37">
        <v>1237.3532219877015</v>
      </c>
      <c r="E12" s="37">
        <v>1183.4301577742115</v>
      </c>
      <c r="F12" s="37">
        <v>518.8472458565092</v>
      </c>
      <c r="G12" s="37">
        <v>953.7542351433058</v>
      </c>
      <c r="H12" s="37">
        <v>648.8174708945754</v>
      </c>
      <c r="I12" s="37">
        <v>347.998323010538</v>
      </c>
      <c r="J12" s="37">
        <v>1918.0029378419363</v>
      </c>
      <c r="K12" s="37">
        <v>7479.973441129049</v>
      </c>
    </row>
    <row r="13" spans="1:11" ht="12.75">
      <c r="A13" s="34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>
      <c r="A14" s="32" t="s">
        <v>66</v>
      </c>
      <c r="B14" s="38"/>
      <c r="C14" s="38"/>
      <c r="D14" s="38"/>
      <c r="E14" s="38"/>
      <c r="F14" s="38"/>
      <c r="G14" s="38"/>
      <c r="H14" s="38"/>
      <c r="I14" s="38"/>
      <c r="J14" s="38"/>
      <c r="K14" s="39"/>
    </row>
    <row r="15" spans="1:11" ht="12.75">
      <c r="A15" s="32"/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spans="1:11" ht="12.75">
      <c r="A16" s="34"/>
      <c r="B16" s="40" t="s">
        <v>0</v>
      </c>
      <c r="C16" s="40" t="s">
        <v>1</v>
      </c>
      <c r="D16" s="40" t="s">
        <v>2</v>
      </c>
      <c r="E16" s="40" t="s">
        <v>3</v>
      </c>
      <c r="F16" s="40" t="s">
        <v>4</v>
      </c>
      <c r="G16" s="40" t="s">
        <v>5</v>
      </c>
      <c r="H16" s="40" t="s">
        <v>6</v>
      </c>
      <c r="I16" s="40" t="s">
        <v>7</v>
      </c>
      <c r="J16" s="40" t="s">
        <v>8</v>
      </c>
      <c r="K16" s="40" t="s">
        <v>9</v>
      </c>
    </row>
    <row r="17" spans="1:11" ht="12.75">
      <c r="A17" s="34" t="s">
        <v>65</v>
      </c>
      <c r="B17" s="26">
        <v>403.7423639945328</v>
      </c>
      <c r="C17" s="26">
        <v>825.8974802511977</v>
      </c>
      <c r="D17" s="26">
        <v>2290.463247955261</v>
      </c>
      <c r="E17" s="26">
        <v>1996.9594046119603</v>
      </c>
      <c r="F17" s="26">
        <v>802.8730835572119</v>
      </c>
      <c r="G17" s="26">
        <v>1726.4223764329918</v>
      </c>
      <c r="H17" s="26">
        <v>1036.676161646575</v>
      </c>
      <c r="I17" s="26">
        <v>557.6035345103279</v>
      </c>
      <c r="J17" s="26">
        <v>2558.960794893118</v>
      </c>
      <c r="K17" s="27">
        <v>12199.598447853175</v>
      </c>
    </row>
    <row r="18" spans="1:11" ht="12.75">
      <c r="A18" s="34" t="s">
        <v>10</v>
      </c>
      <c r="B18" s="26">
        <v>6.3391627989294355</v>
      </c>
      <c r="C18" s="26">
        <v>13.557913989083842</v>
      </c>
      <c r="D18" s="26">
        <v>36.89704546360183</v>
      </c>
      <c r="E18" s="26">
        <v>33.49615210578451</v>
      </c>
      <c r="F18" s="26">
        <v>13.08347780258907</v>
      </c>
      <c r="G18" s="26">
        <v>28.167133495287505</v>
      </c>
      <c r="H18" s="26">
        <v>17.17277900853695</v>
      </c>
      <c r="I18" s="26">
        <v>9.277121870220057</v>
      </c>
      <c r="J18" s="26">
        <v>39.92763108705729</v>
      </c>
      <c r="K18" s="27">
        <v>197.9184176210905</v>
      </c>
    </row>
    <row r="19" spans="1:11" ht="12.75">
      <c r="A19" s="36" t="s">
        <v>11</v>
      </c>
      <c r="B19" s="37">
        <v>410.0815267934622</v>
      </c>
      <c r="C19" s="37">
        <v>839.4553942402816</v>
      </c>
      <c r="D19" s="37">
        <v>2327.360293418863</v>
      </c>
      <c r="E19" s="37">
        <v>2030.4555567177447</v>
      </c>
      <c r="F19" s="37">
        <v>815.956561359801</v>
      </c>
      <c r="G19" s="37">
        <v>1754.5895099282793</v>
      </c>
      <c r="H19" s="37">
        <v>1053.848940655112</v>
      </c>
      <c r="I19" s="37">
        <v>566.880656380548</v>
      </c>
      <c r="J19" s="37">
        <v>2598.8884259801753</v>
      </c>
      <c r="K19" s="37">
        <v>12397.516865474267</v>
      </c>
    </row>
    <row r="20" spans="1:11" ht="12.75">
      <c r="A20" s="36" t="s">
        <v>12</v>
      </c>
      <c r="B20" s="26">
        <v>0</v>
      </c>
      <c r="C20" s="26">
        <v>1.1902190000000001</v>
      </c>
      <c r="D20" s="26">
        <v>0.965266</v>
      </c>
      <c r="E20" s="26">
        <v>1.050713</v>
      </c>
      <c r="F20" s="26">
        <v>0.903226</v>
      </c>
      <c r="G20" s="26">
        <v>0.693735</v>
      </c>
      <c r="H20" s="26">
        <v>2.536924</v>
      </c>
      <c r="I20" s="26">
        <v>2.358054</v>
      </c>
      <c r="J20" s="26">
        <v>2.718621</v>
      </c>
      <c r="K20" s="27">
        <v>12.416757999999998</v>
      </c>
    </row>
    <row r="21" spans="1:11" ht="12.75">
      <c r="A21" s="32" t="s">
        <v>11</v>
      </c>
      <c r="B21" s="37">
        <v>410.0815267934622</v>
      </c>
      <c r="C21" s="37">
        <v>840.6456132402816</v>
      </c>
      <c r="D21" s="37">
        <v>2328.325559418863</v>
      </c>
      <c r="E21" s="37">
        <v>2031.5062697177448</v>
      </c>
      <c r="F21" s="37">
        <v>816.859787359801</v>
      </c>
      <c r="G21" s="37">
        <v>1755.2832449282794</v>
      </c>
      <c r="H21" s="37">
        <v>1056.385864655112</v>
      </c>
      <c r="I21" s="37">
        <v>569.238710380548</v>
      </c>
      <c r="J21" s="37">
        <v>2601.6070469801753</v>
      </c>
      <c r="K21" s="37">
        <v>12409.933623474266</v>
      </c>
    </row>
    <row r="22" spans="1:11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12.75">
      <c r="A25" s="41" t="s">
        <v>15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2.75">
      <c r="A27" s="41" t="s">
        <v>16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12.75">
      <c r="A28" s="34" t="s">
        <v>14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12.75">
      <c r="A29" s="34"/>
      <c r="B29" s="6" t="s">
        <v>0</v>
      </c>
      <c r="C29" s="6" t="s">
        <v>1</v>
      </c>
      <c r="D29" s="6" t="s">
        <v>2</v>
      </c>
      <c r="E29" s="6" t="s">
        <v>3</v>
      </c>
      <c r="F29" s="6" t="s">
        <v>4</v>
      </c>
      <c r="G29" s="6" t="s">
        <v>5</v>
      </c>
      <c r="H29" s="6" t="s">
        <v>6</v>
      </c>
      <c r="I29" s="6" t="s">
        <v>7</v>
      </c>
      <c r="J29" s="6" t="s">
        <v>8</v>
      </c>
      <c r="K29" s="6" t="s">
        <v>9</v>
      </c>
    </row>
    <row r="30" spans="1:11" ht="12.75">
      <c r="A30" s="34" t="s">
        <v>65</v>
      </c>
      <c r="B30" s="42">
        <v>9.428099074550168</v>
      </c>
      <c r="C30" s="42">
        <v>31.976498897156976</v>
      </c>
      <c r="D30" s="42">
        <v>57.15196983913943</v>
      </c>
      <c r="E30" s="42">
        <v>54.90126994030471</v>
      </c>
      <c r="F30" s="42">
        <v>35.476751248187576</v>
      </c>
      <c r="G30" s="42">
        <v>49.251937919985416</v>
      </c>
      <c r="H30" s="42">
        <v>54.61899152489901</v>
      </c>
      <c r="I30" s="42">
        <v>18.10721942022389</v>
      </c>
      <c r="J30" s="42">
        <v>65.45848267647764</v>
      </c>
      <c r="K30" s="37">
        <v>376.3712205409248</v>
      </c>
    </row>
    <row r="31" spans="1:11" ht="12.75">
      <c r="A31" s="34" t="s">
        <v>10</v>
      </c>
      <c r="B31" s="42">
        <v>0.09944992223302689</v>
      </c>
      <c r="C31" s="42">
        <v>0.33729602366938344</v>
      </c>
      <c r="D31" s="42">
        <v>0.6028531214006143</v>
      </c>
      <c r="E31" s="42">
        <v>0.5791121818815155</v>
      </c>
      <c r="F31" s="42">
        <v>0.3742175516840434</v>
      </c>
      <c r="G31" s="42">
        <v>0.5195216296772124</v>
      </c>
      <c r="H31" s="42">
        <v>0.5761346392996929</v>
      </c>
      <c r="I31" s="42">
        <v>0.19099943148227613</v>
      </c>
      <c r="J31" s="42">
        <v>0.6904722744418541</v>
      </c>
      <c r="K31" s="37">
        <v>3.970056775769619</v>
      </c>
    </row>
    <row r="32" spans="1:11" ht="12.75">
      <c r="A32" s="43" t="s">
        <v>11</v>
      </c>
      <c r="B32" s="37">
        <v>9.527548996783196</v>
      </c>
      <c r="C32" s="37">
        <v>32.31379492082636</v>
      </c>
      <c r="D32" s="37">
        <v>57.75482296054005</v>
      </c>
      <c r="E32" s="37">
        <v>55.48038212218622</v>
      </c>
      <c r="F32" s="37">
        <v>35.850968799871616</v>
      </c>
      <c r="G32" s="37">
        <v>49.77145954966263</v>
      </c>
      <c r="H32" s="37">
        <v>55.195126164198705</v>
      </c>
      <c r="I32" s="37">
        <v>18.298218851706164</v>
      </c>
      <c r="J32" s="37">
        <v>66.1489549509195</v>
      </c>
      <c r="K32" s="37">
        <v>380.34127731669446</v>
      </c>
    </row>
    <row r="33" spans="1:11" ht="12.75">
      <c r="A33" s="33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2.75">
      <c r="A34" s="41" t="s">
        <v>17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2.75">
      <c r="A35" s="34" t="s">
        <v>14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2.75">
      <c r="A36" s="34"/>
      <c r="B36" s="40" t="s">
        <v>0</v>
      </c>
      <c r="C36" s="40" t="s">
        <v>1</v>
      </c>
      <c r="D36" s="40" t="s">
        <v>2</v>
      </c>
      <c r="E36" s="40" t="s">
        <v>3</v>
      </c>
      <c r="F36" s="40" t="s">
        <v>4</v>
      </c>
      <c r="G36" s="40" t="s">
        <v>5</v>
      </c>
      <c r="H36" s="40" t="s">
        <v>6</v>
      </c>
      <c r="I36" s="40" t="s">
        <v>7</v>
      </c>
      <c r="J36" s="40" t="s">
        <v>8</v>
      </c>
      <c r="K36" s="40" t="s">
        <v>9</v>
      </c>
    </row>
    <row r="37" spans="1:11" ht="12.75">
      <c r="A37" s="34" t="s">
        <v>65</v>
      </c>
      <c r="B37" s="42">
        <v>0.06528562298630958</v>
      </c>
      <c r="C37" s="42">
        <v>0.5637800832461818</v>
      </c>
      <c r="D37" s="42">
        <v>8.006341103685472</v>
      </c>
      <c r="E37" s="42">
        <v>4.0100864017353555</v>
      </c>
      <c r="F37" s="42">
        <v>2.7314840735882235</v>
      </c>
      <c r="G37" s="42">
        <v>1.3721046186953199</v>
      </c>
      <c r="H37" s="42">
        <v>0.5958696267479271</v>
      </c>
      <c r="I37" s="42">
        <v>0.4409545891532944</v>
      </c>
      <c r="J37" s="42">
        <v>37.54089302110223</v>
      </c>
      <c r="K37" s="42">
        <v>55.32679914094031</v>
      </c>
    </row>
    <row r="38" spans="1:11" ht="12.75">
      <c r="A38" s="34" t="s">
        <v>10</v>
      </c>
      <c r="B38" s="42">
        <v>0.0004958155102528537</v>
      </c>
      <c r="C38" s="42">
        <v>0.004281661058878512</v>
      </c>
      <c r="D38" s="42">
        <v>0.06080462922770494</v>
      </c>
      <c r="E38" s="42">
        <v>0.03045483744332705</v>
      </c>
      <c r="F38" s="42">
        <v>0.020744416729815383</v>
      </c>
      <c r="G38" s="42">
        <v>0.010420529368026336</v>
      </c>
      <c r="H38" s="42">
        <v>0.0045253669876467485</v>
      </c>
      <c r="I38" s="42">
        <v>0.003348855607385815</v>
      </c>
      <c r="J38" s="42">
        <v>0.28510652387446317</v>
      </c>
      <c r="K38" s="42">
        <v>0.4201826358075008</v>
      </c>
    </row>
    <row r="39" spans="1:11" ht="12.75">
      <c r="A39" s="43" t="s">
        <v>11</v>
      </c>
      <c r="B39" s="37">
        <v>0.06578143849656243</v>
      </c>
      <c r="C39" s="37">
        <v>0.5680617443050603</v>
      </c>
      <c r="D39" s="37">
        <v>8.067145732913177</v>
      </c>
      <c r="E39" s="37">
        <v>4.040541239178682</v>
      </c>
      <c r="F39" s="37">
        <v>2.7522284903180387</v>
      </c>
      <c r="G39" s="37">
        <v>1.3825251480633463</v>
      </c>
      <c r="H39" s="37">
        <v>0.6003949937355738</v>
      </c>
      <c r="I39" s="37">
        <v>0.4443034447606802</v>
      </c>
      <c r="J39" s="37">
        <v>37.82599954497669</v>
      </c>
      <c r="K39" s="37">
        <v>55.746981776747816</v>
      </c>
    </row>
    <row r="40" spans="1:11" ht="12.75">
      <c r="A40" s="33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2.75">
      <c r="A41" s="41" t="s">
        <v>18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12.75">
      <c r="A42" s="34" t="s">
        <v>14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12.75">
      <c r="A43" s="34"/>
      <c r="B43" s="40" t="s">
        <v>0</v>
      </c>
      <c r="C43" s="40" t="s">
        <v>1</v>
      </c>
      <c r="D43" s="40" t="s">
        <v>2</v>
      </c>
      <c r="E43" s="40" t="s">
        <v>3</v>
      </c>
      <c r="F43" s="40" t="s">
        <v>4</v>
      </c>
      <c r="G43" s="40" t="s">
        <v>5</v>
      </c>
      <c r="H43" s="40" t="s">
        <v>6</v>
      </c>
      <c r="I43" s="40" t="s">
        <v>7</v>
      </c>
      <c r="J43" s="40" t="s">
        <v>8</v>
      </c>
      <c r="K43" s="40" t="s">
        <v>9</v>
      </c>
    </row>
    <row r="44" spans="1:11" ht="12.75">
      <c r="A44" s="34" t="s">
        <v>65</v>
      </c>
      <c r="B44" s="42">
        <v>1.2517651085768156</v>
      </c>
      <c r="C44" s="42">
        <v>2.4793695335009827</v>
      </c>
      <c r="D44" s="42">
        <v>7.0996376966098005</v>
      </c>
      <c r="E44" s="42">
        <v>6.239640419587892</v>
      </c>
      <c r="F44" s="42">
        <v>2.334998603371361</v>
      </c>
      <c r="G44" s="42">
        <v>5.339528793855781</v>
      </c>
      <c r="H44" s="42">
        <v>3.104913448672603</v>
      </c>
      <c r="I44" s="42">
        <v>1.6239361379092472</v>
      </c>
      <c r="J44" s="42">
        <v>7.410743018542401</v>
      </c>
      <c r="K44" s="42">
        <v>36.88453276062688</v>
      </c>
    </row>
    <row r="45" spans="1:11" ht="12.75">
      <c r="A45" s="34" t="s">
        <v>10</v>
      </c>
      <c r="B45" s="42">
        <v>0.009679001466888621</v>
      </c>
      <c r="C45" s="42">
        <v>0.01950551147687429</v>
      </c>
      <c r="D45" s="42">
        <v>0.053904922191066365</v>
      </c>
      <c r="E45" s="42">
        <v>0.04800503380313148</v>
      </c>
      <c r="F45" s="42">
        <v>0.017974909828265027</v>
      </c>
      <c r="G45" s="42">
        <v>0.041262149783794486</v>
      </c>
      <c r="H45" s="42">
        <v>0.023487788804547563</v>
      </c>
      <c r="I45" s="42">
        <v>0.012241744453225465</v>
      </c>
      <c r="J45" s="42">
        <v>0.054060695397215565</v>
      </c>
      <c r="K45" s="42">
        <v>0.28012175720500887</v>
      </c>
    </row>
    <row r="46" spans="1:11" ht="12.75">
      <c r="A46" s="43" t="s">
        <v>11</v>
      </c>
      <c r="B46" s="37">
        <v>1.2614441100437042</v>
      </c>
      <c r="C46" s="37">
        <v>2.498875044977857</v>
      </c>
      <c r="D46" s="37">
        <v>7.153542618800867</v>
      </c>
      <c r="E46" s="37">
        <v>6.287645453391024</v>
      </c>
      <c r="F46" s="37">
        <v>2.352973513199626</v>
      </c>
      <c r="G46" s="37">
        <v>5.3807909436395756</v>
      </c>
      <c r="H46" s="37">
        <v>3.1284012374771506</v>
      </c>
      <c r="I46" s="37">
        <v>1.6361778823624726</v>
      </c>
      <c r="J46" s="37">
        <v>7.464803713939616</v>
      </c>
      <c r="K46" s="37">
        <v>37.16465451783189</v>
      </c>
    </row>
    <row r="48" spans="1:11" ht="12.75">
      <c r="A48" s="15" t="s">
        <v>61</v>
      </c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 t="s">
        <v>14</v>
      </c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 t="s">
        <v>62</v>
      </c>
      <c r="B50" s="4"/>
      <c r="C50" s="4"/>
      <c r="D50" s="46">
        <v>0.05920959223117017</v>
      </c>
      <c r="E50" s="4"/>
      <c r="F50" s="4"/>
      <c r="G50" s="4"/>
      <c r="H50" s="4"/>
      <c r="I50" s="4"/>
      <c r="J50" s="4"/>
      <c r="K50" s="4"/>
    </row>
    <row r="51" spans="1:11" ht="12.75">
      <c r="A51" s="4"/>
      <c r="B51" s="14" t="s">
        <v>0</v>
      </c>
      <c r="C51" s="14" t="s">
        <v>1</v>
      </c>
      <c r="D51" s="14" t="s">
        <v>2</v>
      </c>
      <c r="E51" s="14" t="s">
        <v>3</v>
      </c>
      <c r="F51" s="14" t="s">
        <v>4</v>
      </c>
      <c r="G51" s="14" t="s">
        <v>5</v>
      </c>
      <c r="H51" s="14" t="s">
        <v>6</v>
      </c>
      <c r="I51" s="14" t="s">
        <v>7</v>
      </c>
      <c r="J51" s="14" t="s">
        <v>8</v>
      </c>
      <c r="K51" s="14" t="s">
        <v>9</v>
      </c>
    </row>
    <row r="52" spans="1:11" s="45" customFormat="1" ht="12.75">
      <c r="A52" s="47" t="s">
        <v>63</v>
      </c>
      <c r="B52" s="16">
        <v>3.53903746</v>
      </c>
      <c r="C52" s="16">
        <v>13.16246284</v>
      </c>
      <c r="D52" s="16">
        <v>30.20306945</v>
      </c>
      <c r="E52" s="16">
        <v>28.62636163</v>
      </c>
      <c r="F52" s="16">
        <v>12.34930803</v>
      </c>
      <c r="G52" s="16">
        <v>23.654151919999997</v>
      </c>
      <c r="H52" s="16">
        <v>13.58046025</v>
      </c>
      <c r="I52" s="16">
        <v>9.632031119999999</v>
      </c>
      <c r="J52" s="16">
        <v>0</v>
      </c>
      <c r="K52" s="16">
        <v>134.74688270000001</v>
      </c>
    </row>
    <row r="53" spans="1:11" ht="12.75">
      <c r="A53" s="43"/>
      <c r="B53" s="37"/>
      <c r="C53" s="37"/>
      <c r="D53" s="37"/>
      <c r="E53" s="37"/>
      <c r="F53" s="37"/>
      <c r="G53" s="37"/>
      <c r="H53" s="37"/>
      <c r="I53" s="37"/>
      <c r="J53" s="37"/>
      <c r="K53" s="37"/>
    </row>
  </sheetData>
  <sheetProtection/>
  <printOptions/>
  <pageMargins left="0.62" right="0.55" top="0.984251969" bottom="0.984251969" header="0.4921259845" footer="0.4921259845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30" customWidth="1"/>
    <col min="2" max="10" width="8.57421875" style="30" customWidth="1"/>
    <col min="11" max="11" width="9.140625" style="30" customWidth="1"/>
    <col min="12" max="16384" width="11.421875" style="30" customWidth="1"/>
  </cols>
  <sheetData>
    <row r="1" ht="15.75">
      <c r="A1" s="29" t="s">
        <v>119</v>
      </c>
    </row>
    <row r="2" ht="12.75">
      <c r="A2" s="45"/>
    </row>
    <row r="5" spans="1:11" ht="12.75">
      <c r="A5" s="43" t="s">
        <v>67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4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34"/>
      <c r="B7" s="35" t="s">
        <v>0</v>
      </c>
      <c r="C7" s="35" t="s">
        <v>1</v>
      </c>
      <c r="D7" s="35" t="s">
        <v>2</v>
      </c>
      <c r="E7" s="35" t="s">
        <v>3</v>
      </c>
      <c r="F7" s="35" t="s">
        <v>4</v>
      </c>
      <c r="G7" s="35" t="s">
        <v>5</v>
      </c>
      <c r="H7" s="35" t="s">
        <v>6</v>
      </c>
      <c r="I7" s="35" t="s">
        <v>7</v>
      </c>
      <c r="J7" s="35" t="s">
        <v>8</v>
      </c>
      <c r="K7" s="35" t="s">
        <v>9</v>
      </c>
    </row>
    <row r="8" spans="1:11" ht="12.75">
      <c r="A8" s="34" t="s">
        <v>68</v>
      </c>
      <c r="B8" s="26">
        <v>195.13480599201412</v>
      </c>
      <c r="C8" s="26">
        <v>481.8458383447392</v>
      </c>
      <c r="D8" s="26">
        <v>1238.6220395974772</v>
      </c>
      <c r="E8" s="26">
        <v>1189.1046060181877</v>
      </c>
      <c r="F8" s="26">
        <v>523.5821841324662</v>
      </c>
      <c r="G8" s="26">
        <v>959.3244645093785</v>
      </c>
      <c r="H8" s="26">
        <v>652.9774878401016</v>
      </c>
      <c r="I8" s="26">
        <v>347.83260808044685</v>
      </c>
      <c r="J8" s="26">
        <v>1954.0909648152424</v>
      </c>
      <c r="K8" s="27">
        <v>7542.514999330053</v>
      </c>
    </row>
    <row r="9" spans="1:11" ht="12.75">
      <c r="A9" s="34" t="s">
        <v>10</v>
      </c>
      <c r="B9" s="26">
        <v>-3.279086717796308</v>
      </c>
      <c r="C9" s="26">
        <v>-6.606621497896732</v>
      </c>
      <c r="D9" s="26">
        <v>-20.36899147879728</v>
      </c>
      <c r="E9" s="26">
        <v>-19.459729645063636</v>
      </c>
      <c r="F9" s="26">
        <v>-7.765926986192586</v>
      </c>
      <c r="G9" s="26">
        <v>-15.313929072821397</v>
      </c>
      <c r="H9" s="26">
        <v>-10.247281171257608</v>
      </c>
      <c r="I9" s="26">
        <v>-6.691116208588879</v>
      </c>
      <c r="J9" s="26">
        <v>-24.305887850914615</v>
      </c>
      <c r="K9" s="27">
        <v>-114.03857062932904</v>
      </c>
    </row>
    <row r="10" spans="1:11" ht="12.75">
      <c r="A10" s="34" t="s">
        <v>11</v>
      </c>
      <c r="B10" s="37">
        <v>191.85571927421782</v>
      </c>
      <c r="C10" s="37">
        <v>475.23921684684245</v>
      </c>
      <c r="D10" s="37">
        <v>1218.25304811868</v>
      </c>
      <c r="E10" s="37">
        <v>1169.6448763731241</v>
      </c>
      <c r="F10" s="37">
        <v>515.8162571462736</v>
      </c>
      <c r="G10" s="37">
        <v>944.010535436557</v>
      </c>
      <c r="H10" s="37">
        <v>642.7302066688441</v>
      </c>
      <c r="I10" s="37">
        <v>341.14149187185797</v>
      </c>
      <c r="J10" s="37">
        <v>1929.7850769643278</v>
      </c>
      <c r="K10" s="37">
        <v>7428.476428700724</v>
      </c>
    </row>
    <row r="11" spans="1:11" ht="12.75">
      <c r="A11" s="34" t="s">
        <v>12</v>
      </c>
      <c r="B11" s="26">
        <v>0</v>
      </c>
      <c r="C11" s="26">
        <v>1.1532280000000001</v>
      </c>
      <c r="D11" s="26">
        <v>0.998892</v>
      </c>
      <c r="E11" s="26">
        <v>1.0094400000000001</v>
      </c>
      <c r="F11" s="26">
        <v>0.9201670000000001</v>
      </c>
      <c r="G11" s="26">
        <v>0.835271</v>
      </c>
      <c r="H11" s="26">
        <v>2.957634</v>
      </c>
      <c r="I11" s="26">
        <v>2.5461210000000003</v>
      </c>
      <c r="J11" s="26">
        <v>2.428954</v>
      </c>
      <c r="K11" s="27">
        <v>12.849707</v>
      </c>
    </row>
    <row r="12" spans="1:11" ht="12.75">
      <c r="A12" s="43" t="s">
        <v>11</v>
      </c>
      <c r="B12" s="37">
        <v>191.85571927421782</v>
      </c>
      <c r="C12" s="37">
        <v>476.39244484684247</v>
      </c>
      <c r="D12" s="37">
        <v>1219.25194011868</v>
      </c>
      <c r="E12" s="37">
        <v>1170.6543163731242</v>
      </c>
      <c r="F12" s="37">
        <v>516.7364241462736</v>
      </c>
      <c r="G12" s="37">
        <v>944.845806436557</v>
      </c>
      <c r="H12" s="37">
        <v>645.687840668844</v>
      </c>
      <c r="I12" s="37">
        <v>343.687612871858</v>
      </c>
      <c r="J12" s="37">
        <v>1932.2140309643278</v>
      </c>
      <c r="K12" s="37">
        <v>7441.326135700724</v>
      </c>
    </row>
    <row r="13" spans="1:11" ht="12.75">
      <c r="A13" s="34"/>
      <c r="B13" s="38"/>
      <c r="C13" s="38"/>
      <c r="D13" s="38"/>
      <c r="E13" s="38"/>
      <c r="F13" s="38"/>
      <c r="G13" s="38"/>
      <c r="H13" s="38"/>
      <c r="I13" s="38"/>
      <c r="J13" s="38"/>
      <c r="K13" s="48"/>
    </row>
    <row r="14" spans="1:11" ht="12.75">
      <c r="A14" s="43" t="s">
        <v>69</v>
      </c>
      <c r="B14" s="38"/>
      <c r="C14" s="38"/>
      <c r="D14" s="38"/>
      <c r="E14" s="38"/>
      <c r="F14" s="38"/>
      <c r="G14" s="38"/>
      <c r="H14" s="38"/>
      <c r="I14" s="38"/>
      <c r="J14" s="38"/>
      <c r="K14" s="48"/>
    </row>
    <row r="15" spans="1:11" ht="12.75">
      <c r="A15" s="43"/>
      <c r="B15" s="38"/>
      <c r="C15" s="38"/>
      <c r="D15" s="38"/>
      <c r="E15" s="38"/>
      <c r="F15" s="38"/>
      <c r="G15" s="38"/>
      <c r="H15" s="38"/>
      <c r="I15" s="38"/>
      <c r="J15" s="38"/>
      <c r="K15" s="48"/>
    </row>
    <row r="16" spans="1:11" ht="12.75">
      <c r="A16" s="34"/>
      <c r="B16" s="40" t="s">
        <v>0</v>
      </c>
      <c r="C16" s="40" t="s">
        <v>1</v>
      </c>
      <c r="D16" s="40" t="s">
        <v>2</v>
      </c>
      <c r="E16" s="40" t="s">
        <v>3</v>
      </c>
      <c r="F16" s="40" t="s">
        <v>4</v>
      </c>
      <c r="G16" s="40" t="s">
        <v>5</v>
      </c>
      <c r="H16" s="40" t="s">
        <v>6</v>
      </c>
      <c r="I16" s="40" t="s">
        <v>7</v>
      </c>
      <c r="J16" s="40" t="s">
        <v>8</v>
      </c>
      <c r="K16" s="40" t="s">
        <v>9</v>
      </c>
    </row>
    <row r="17" spans="1:11" ht="12.75">
      <c r="A17" s="34" t="s">
        <v>68</v>
      </c>
      <c r="B17" s="26">
        <v>406.97341255827195</v>
      </c>
      <c r="C17" s="26">
        <v>832.1791059772806</v>
      </c>
      <c r="D17" s="26">
        <v>2307.40419633395</v>
      </c>
      <c r="E17" s="26">
        <v>2012.6035313875743</v>
      </c>
      <c r="F17" s="26">
        <v>806.4061773931375</v>
      </c>
      <c r="G17" s="26">
        <v>1740.342314968819</v>
      </c>
      <c r="H17" s="26">
        <v>1045.5333136518104</v>
      </c>
      <c r="I17" s="26">
        <v>560.8932543805047</v>
      </c>
      <c r="J17" s="26">
        <v>2586.425634078131</v>
      </c>
      <c r="K17" s="27">
        <v>12298.76094072948</v>
      </c>
    </row>
    <row r="18" spans="1:11" ht="12.75">
      <c r="A18" s="34" t="s">
        <v>10</v>
      </c>
      <c r="B18" s="26">
        <v>-2.655949328060087</v>
      </c>
      <c r="C18" s="26">
        <v>-5.392868564782664</v>
      </c>
      <c r="D18" s="26">
        <v>-15.128358626024797</v>
      </c>
      <c r="E18" s="26">
        <v>-13.526355116918218</v>
      </c>
      <c r="F18" s="26">
        <v>-1.342867257136968</v>
      </c>
      <c r="G18" s="26">
        <v>-10.803180943585467</v>
      </c>
      <c r="H18" s="26">
        <v>-5.994268358041881</v>
      </c>
      <c r="I18" s="26">
        <v>-3.4722109740374143</v>
      </c>
      <c r="J18" s="26">
        <v>-10.089465424068273</v>
      </c>
      <c r="K18" s="27">
        <v>-68.40552459265577</v>
      </c>
    </row>
    <row r="19" spans="1:11" ht="12.75">
      <c r="A19" s="34" t="s">
        <v>11</v>
      </c>
      <c r="B19" s="37">
        <v>404.31746323021184</v>
      </c>
      <c r="C19" s="37">
        <v>826.7862374124979</v>
      </c>
      <c r="D19" s="37">
        <v>2292.2758377079253</v>
      </c>
      <c r="E19" s="37">
        <v>1999.077176270656</v>
      </c>
      <c r="F19" s="37">
        <v>805.0633101360005</v>
      </c>
      <c r="G19" s="37">
        <v>1729.5391340252336</v>
      </c>
      <c r="H19" s="37">
        <v>1039.5390452937686</v>
      </c>
      <c r="I19" s="37">
        <v>557.4210434064672</v>
      </c>
      <c r="J19" s="37">
        <v>2576.336168654063</v>
      </c>
      <c r="K19" s="37">
        <v>12230.355416136825</v>
      </c>
    </row>
    <row r="20" spans="1:11" ht="12.75">
      <c r="A20" s="34" t="s">
        <v>12</v>
      </c>
      <c r="B20" s="26">
        <v>0</v>
      </c>
      <c r="C20" s="26">
        <v>0.928885</v>
      </c>
      <c r="D20" s="26">
        <v>0.766426</v>
      </c>
      <c r="E20" s="26">
        <v>0.777529</v>
      </c>
      <c r="F20" s="26">
        <v>0.663726</v>
      </c>
      <c r="G20" s="26">
        <v>0.594193</v>
      </c>
      <c r="H20" s="26">
        <v>2.25818</v>
      </c>
      <c r="I20" s="26">
        <v>2.249431</v>
      </c>
      <c r="J20" s="26">
        <v>2.271754</v>
      </c>
      <c r="K20" s="27">
        <v>10.510124</v>
      </c>
    </row>
    <row r="21" spans="1:11" ht="12.75">
      <c r="A21" s="43" t="s">
        <v>11</v>
      </c>
      <c r="B21" s="37">
        <v>404.31746323021184</v>
      </c>
      <c r="C21" s="37">
        <v>827.715122412498</v>
      </c>
      <c r="D21" s="37">
        <v>2293.0422637079255</v>
      </c>
      <c r="E21" s="37">
        <v>1999.854705270656</v>
      </c>
      <c r="F21" s="37">
        <v>805.7270361360005</v>
      </c>
      <c r="G21" s="37">
        <v>1730.1333270252335</v>
      </c>
      <c r="H21" s="37">
        <v>1041.7972252937686</v>
      </c>
      <c r="I21" s="37">
        <v>559.6704744064672</v>
      </c>
      <c r="J21" s="37">
        <v>2578.607922654063</v>
      </c>
      <c r="K21" s="37">
        <v>12240.865540136825</v>
      </c>
    </row>
    <row r="22" spans="1:11" ht="12.75">
      <c r="A22" s="43"/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.75">
      <c r="A24" s="41" t="s">
        <v>15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2.75">
      <c r="A26" s="41" t="s">
        <v>16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2.75">
      <c r="A27" s="34" t="s">
        <v>14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12.75">
      <c r="A28" s="34"/>
      <c r="B28" s="6" t="s">
        <v>0</v>
      </c>
      <c r="C28" s="6" t="s">
        <v>1</v>
      </c>
      <c r="D28" s="6" t="s">
        <v>2</v>
      </c>
      <c r="E28" s="6" t="s">
        <v>3</v>
      </c>
      <c r="F28" s="6" t="s">
        <v>4</v>
      </c>
      <c r="G28" s="6" t="s">
        <v>5</v>
      </c>
      <c r="H28" s="6" t="s">
        <v>6</v>
      </c>
      <c r="I28" s="6" t="s">
        <v>7</v>
      </c>
      <c r="J28" s="6" t="s">
        <v>8</v>
      </c>
      <c r="K28" s="6" t="s">
        <v>9</v>
      </c>
    </row>
    <row r="29" spans="1:11" ht="12.75">
      <c r="A29" s="34" t="s">
        <v>68</v>
      </c>
      <c r="B29" s="42">
        <v>9.685177588597607</v>
      </c>
      <c r="C29" s="42">
        <v>32.84841069569872</v>
      </c>
      <c r="D29" s="42">
        <v>58.71034797718749</v>
      </c>
      <c r="E29" s="42">
        <v>56.39827763867199</v>
      </c>
      <c r="F29" s="42">
        <v>36.44410536930981</v>
      </c>
      <c r="G29" s="42">
        <v>50.59490376223088</v>
      </c>
      <c r="H29" s="42">
        <v>56.10830226176787</v>
      </c>
      <c r="I29" s="42">
        <v>18.600953843809616</v>
      </c>
      <c r="J29" s="42">
        <v>67.24335673488608</v>
      </c>
      <c r="K29" s="37">
        <v>386.63383587216003</v>
      </c>
    </row>
    <row r="30" spans="1:11" ht="12.75">
      <c r="A30" s="34" t="s">
        <v>10</v>
      </c>
      <c r="B30" s="42">
        <v>-0.05996320772384388</v>
      </c>
      <c r="C30" s="42">
        <v>-0.20337222068733535</v>
      </c>
      <c r="D30" s="42">
        <v>-0.3634895446253722</v>
      </c>
      <c r="E30" s="42">
        <v>-0.3491749744781264</v>
      </c>
      <c r="F30" s="42">
        <v>-0.2256340103812181</v>
      </c>
      <c r="G30" s="42">
        <v>-0.3132449246603501</v>
      </c>
      <c r="H30" s="42">
        <v>-0.34737966885764765</v>
      </c>
      <c r="I30" s="42">
        <v>-0.11516287120135894</v>
      </c>
      <c r="J30" s="42">
        <v>-0.4163194046838689</v>
      </c>
      <c r="K30" s="37">
        <v>-2.3937408272991214</v>
      </c>
    </row>
    <row r="31" spans="1:11" ht="12.75">
      <c r="A31" s="43" t="s">
        <v>11</v>
      </c>
      <c r="B31" s="37">
        <v>9.625214380873764</v>
      </c>
      <c r="C31" s="37">
        <v>32.64503847501138</v>
      </c>
      <c r="D31" s="37">
        <v>58.346858432562115</v>
      </c>
      <c r="E31" s="37">
        <v>56.04910266419387</v>
      </c>
      <c r="F31" s="37">
        <v>36.21847135892859</v>
      </c>
      <c r="G31" s="37">
        <v>50.281658837570525</v>
      </c>
      <c r="H31" s="37">
        <v>55.76092259291022</v>
      </c>
      <c r="I31" s="37">
        <v>18.485790972608257</v>
      </c>
      <c r="J31" s="37">
        <v>66.8270373302022</v>
      </c>
      <c r="K31" s="37">
        <v>384.2400950448609</v>
      </c>
    </row>
    <row r="32" spans="1:11" ht="12.75">
      <c r="A32" s="33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2.75">
      <c r="A33" s="41" t="s">
        <v>17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2.75">
      <c r="A34" s="34" t="s">
        <v>14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2.75">
      <c r="A35" s="34"/>
      <c r="B35" s="40" t="s">
        <v>0</v>
      </c>
      <c r="C35" s="40" t="s">
        <v>1</v>
      </c>
      <c r="D35" s="40" t="s">
        <v>2</v>
      </c>
      <c r="E35" s="40" t="s">
        <v>3</v>
      </c>
      <c r="F35" s="40" t="s">
        <v>4</v>
      </c>
      <c r="G35" s="40" t="s">
        <v>5</v>
      </c>
      <c r="H35" s="40" t="s">
        <v>6</v>
      </c>
      <c r="I35" s="40" t="s">
        <v>7</v>
      </c>
      <c r="J35" s="40" t="s">
        <v>8</v>
      </c>
      <c r="K35" s="40" t="s">
        <v>9</v>
      </c>
    </row>
    <row r="36" spans="1:11" ht="12.75">
      <c r="A36" s="34" t="s">
        <v>68</v>
      </c>
      <c r="B36" s="42">
        <v>0.06679124428126433</v>
      </c>
      <c r="C36" s="42">
        <v>0.576782016293291</v>
      </c>
      <c r="D36" s="42">
        <v>8.190983864357424</v>
      </c>
      <c r="E36" s="42">
        <v>4.102567275852576</v>
      </c>
      <c r="F36" s="42">
        <v>2.7944777374288314</v>
      </c>
      <c r="G36" s="42">
        <v>1.403748184894369</v>
      </c>
      <c r="H36" s="42">
        <v>0.6096116109400144</v>
      </c>
      <c r="I36" s="42">
        <v>0.45112391264548873</v>
      </c>
      <c r="J36" s="42">
        <v>38.40666354420871</v>
      </c>
      <c r="K36" s="42">
        <v>56.60274939090197</v>
      </c>
    </row>
    <row r="37" spans="1:11" ht="12.75">
      <c r="A37" s="34" t="s">
        <v>10</v>
      </c>
      <c r="B37" s="42">
        <v>-0.00037636684296658986</v>
      </c>
      <c r="C37" s="42">
        <v>-0.0032501509574825605</v>
      </c>
      <c r="D37" s="42">
        <v>-0.046155971055672124</v>
      </c>
      <c r="E37" s="42">
        <v>-0.02311785489679505</v>
      </c>
      <c r="F37" s="42">
        <v>-0.01574680596377948</v>
      </c>
      <c r="G37" s="42">
        <v>-0.007910082801331556</v>
      </c>
      <c r="H37" s="42">
        <v>-0.0034351448294490865</v>
      </c>
      <c r="I37" s="42">
        <v>-0.002542070964782738</v>
      </c>
      <c r="J37" s="42">
        <v>-0.21642050335433305</v>
      </c>
      <c r="K37" s="42">
        <v>-0.3189549516665922</v>
      </c>
    </row>
    <row r="38" spans="1:11" ht="12.75">
      <c r="A38" s="43" t="s">
        <v>11</v>
      </c>
      <c r="B38" s="37">
        <v>0.06641487743829774</v>
      </c>
      <c r="C38" s="37">
        <v>0.5735318653358084</v>
      </c>
      <c r="D38" s="37">
        <v>8.144827893301752</v>
      </c>
      <c r="E38" s="37">
        <v>4.079449420955781</v>
      </c>
      <c r="F38" s="37">
        <v>2.778730931465052</v>
      </c>
      <c r="G38" s="37">
        <v>1.3958381020930373</v>
      </c>
      <c r="H38" s="37">
        <v>0.6061764661105653</v>
      </c>
      <c r="I38" s="37">
        <v>0.448581841680706</v>
      </c>
      <c r="J38" s="37">
        <v>38.19024304085438</v>
      </c>
      <c r="K38" s="37">
        <v>56.28379443923538</v>
      </c>
    </row>
    <row r="39" spans="1:11" ht="12.75">
      <c r="A39" s="33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2.75">
      <c r="A40" s="41" t="s">
        <v>18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2.75">
      <c r="A41" s="34" t="s">
        <v>14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12.75">
      <c r="A42" s="34"/>
      <c r="B42" s="40" t="s">
        <v>0</v>
      </c>
      <c r="C42" s="40" t="s">
        <v>1</v>
      </c>
      <c r="D42" s="40" t="s">
        <v>2</v>
      </c>
      <c r="E42" s="40" t="s">
        <v>3</v>
      </c>
      <c r="F42" s="40" t="s">
        <v>4</v>
      </c>
      <c r="G42" s="40" t="s">
        <v>5</v>
      </c>
      <c r="H42" s="40" t="s">
        <v>6</v>
      </c>
      <c r="I42" s="40" t="s">
        <v>7</v>
      </c>
      <c r="J42" s="40" t="s">
        <v>8</v>
      </c>
      <c r="K42" s="40" t="s">
        <v>9</v>
      </c>
    </row>
    <row r="43" spans="1:11" ht="12.75">
      <c r="A43" s="34" t="s">
        <v>68</v>
      </c>
      <c r="B43" s="42">
        <v>1.2791955195217128</v>
      </c>
      <c r="C43" s="42">
        <v>2.5345592281869185</v>
      </c>
      <c r="D43" s="42">
        <v>7.254981376852182</v>
      </c>
      <c r="E43" s="42">
        <v>6.376162994049054</v>
      </c>
      <c r="F43" s="42">
        <v>2.391034544961109</v>
      </c>
      <c r="G43" s="42">
        <v>5.45804112363747</v>
      </c>
      <c r="H43" s="42">
        <v>3.1771178687764734</v>
      </c>
      <c r="I43" s="42">
        <v>1.659206139065657</v>
      </c>
      <c r="J43" s="42">
        <v>7.604867465550743</v>
      </c>
      <c r="K43" s="42">
        <v>37.73516626060132</v>
      </c>
    </row>
    <row r="44" spans="1:11" ht="12.75">
      <c r="A44" s="34" t="s">
        <v>10</v>
      </c>
      <c r="B44" s="42">
        <v>-0.008613696628306116</v>
      </c>
      <c r="C44" s="42">
        <v>-0.016227007512632553</v>
      </c>
      <c r="D44" s="42">
        <v>-0.04908115176971023</v>
      </c>
      <c r="E44" s="42">
        <v>-0.04313964398353164</v>
      </c>
      <c r="F44" s="42">
        <v>-0.011336641439659616</v>
      </c>
      <c r="G44" s="42">
        <v>-0.03527981410645862</v>
      </c>
      <c r="H44" s="42">
        <v>-0.01731776511902899</v>
      </c>
      <c r="I44" s="42">
        <v>-0.011481729638396929</v>
      </c>
      <c r="J44" s="42">
        <v>-0.020159184246678705</v>
      </c>
      <c r="K44" s="42">
        <v>-0.21263663444440342</v>
      </c>
    </row>
    <row r="45" spans="1:11" ht="12.75">
      <c r="A45" s="43" t="s">
        <v>11</v>
      </c>
      <c r="B45" s="37">
        <v>1.2705818228934067</v>
      </c>
      <c r="C45" s="37">
        <v>2.518332220674286</v>
      </c>
      <c r="D45" s="37">
        <v>7.205900225082472</v>
      </c>
      <c r="E45" s="37">
        <v>6.333023350065522</v>
      </c>
      <c r="F45" s="37">
        <v>2.3796979035214494</v>
      </c>
      <c r="G45" s="37">
        <v>5.422761309531011</v>
      </c>
      <c r="H45" s="37">
        <v>3.1598001036574446</v>
      </c>
      <c r="I45" s="37">
        <v>1.64772440942726</v>
      </c>
      <c r="J45" s="37">
        <v>7.5847082813040645</v>
      </c>
      <c r="K45" s="37">
        <v>37.52252962615692</v>
      </c>
    </row>
    <row r="47" spans="1:11" ht="12.75">
      <c r="A47" s="15" t="s">
        <v>61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 t="s">
        <v>62</v>
      </c>
      <c r="B49" s="4"/>
      <c r="C49" s="4"/>
      <c r="D49" s="49">
        <v>-0.07544025422989531</v>
      </c>
      <c r="E49" s="4"/>
      <c r="F49" s="4"/>
      <c r="G49" s="4"/>
      <c r="H49" s="4"/>
      <c r="I49" s="4"/>
      <c r="J49" s="4"/>
      <c r="K49" s="4"/>
    </row>
    <row r="50" spans="1:11" ht="12.75">
      <c r="A50" s="4"/>
      <c r="B50" s="14" t="s">
        <v>0</v>
      </c>
      <c r="C50" s="14" t="s">
        <v>1</v>
      </c>
      <c r="D50" s="14" t="s">
        <v>2</v>
      </c>
      <c r="E50" s="14" t="s">
        <v>3</v>
      </c>
      <c r="F50" s="14" t="s">
        <v>4</v>
      </c>
      <c r="G50" s="14" t="s">
        <v>5</v>
      </c>
      <c r="H50" s="14" t="s">
        <v>6</v>
      </c>
      <c r="I50" s="14" t="s">
        <v>7</v>
      </c>
      <c r="J50" s="14" t="s">
        <v>8</v>
      </c>
      <c r="K50" s="14" t="s">
        <v>9</v>
      </c>
    </row>
    <row r="51" spans="1:11" s="45" customFormat="1" ht="12.75">
      <c r="A51" s="47" t="s">
        <v>63</v>
      </c>
      <c r="B51" s="16">
        <v>3.27210434</v>
      </c>
      <c r="C51" s="16">
        <v>12.169653049999999</v>
      </c>
      <c r="D51" s="16">
        <v>27.93040832</v>
      </c>
      <c r="E51" s="16">
        <v>26.469581659999996</v>
      </c>
      <c r="F51" s="16">
        <v>11.41850825</v>
      </c>
      <c r="G51" s="16">
        <v>21.871954170000002</v>
      </c>
      <c r="H51" s="16">
        <v>12.558246220000001</v>
      </c>
      <c r="I51" s="16">
        <v>8.90595626</v>
      </c>
      <c r="J51" s="16">
        <v>0</v>
      </c>
      <c r="K51" s="16">
        <v>124.59641227000002</v>
      </c>
    </row>
    <row r="52" spans="1:11" ht="12.75">
      <c r="A52" s="43"/>
      <c r="B52" s="37"/>
      <c r="C52" s="37"/>
      <c r="D52" s="37"/>
      <c r="E52" s="37"/>
      <c r="F52" s="37"/>
      <c r="G52" s="37"/>
      <c r="H52" s="37"/>
      <c r="I52" s="37"/>
      <c r="J52" s="37"/>
      <c r="K52" s="37"/>
    </row>
  </sheetData>
  <sheetProtection/>
  <printOptions/>
  <pageMargins left="0.62" right="0.55" top="0.984251969" bottom="0.984251969" header="0.4921259845" footer="0.4921259845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30" customWidth="1"/>
    <col min="2" max="10" width="8.57421875" style="30" customWidth="1"/>
    <col min="11" max="11" width="9.140625" style="30" customWidth="1"/>
    <col min="12" max="16384" width="11.421875" style="30" customWidth="1"/>
  </cols>
  <sheetData>
    <row r="1" ht="15.75">
      <c r="A1" s="29" t="s">
        <v>124</v>
      </c>
    </row>
    <row r="2" ht="12.75">
      <c r="A2" s="45"/>
    </row>
    <row r="5" spans="1:11" ht="12.75">
      <c r="A5" s="32" t="s">
        <v>72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34"/>
      <c r="B7" s="35" t="s">
        <v>0</v>
      </c>
      <c r="C7" s="35" t="s">
        <v>1</v>
      </c>
      <c r="D7" s="35" t="s">
        <v>2</v>
      </c>
      <c r="E7" s="35" t="s">
        <v>3</v>
      </c>
      <c r="F7" s="35" t="s">
        <v>4</v>
      </c>
      <c r="G7" s="35" t="s">
        <v>5</v>
      </c>
      <c r="H7" s="35" t="s">
        <v>6</v>
      </c>
      <c r="I7" s="35" t="s">
        <v>7</v>
      </c>
      <c r="J7" s="35" t="s">
        <v>8</v>
      </c>
      <c r="K7" s="35" t="s">
        <v>9</v>
      </c>
    </row>
    <row r="8" spans="1:11" ht="12.75">
      <c r="A8" s="34" t="s">
        <v>73</v>
      </c>
      <c r="B8" s="26">
        <v>213.06255822119778</v>
      </c>
      <c r="C8" s="26">
        <v>514.185239405902</v>
      </c>
      <c r="D8" s="26">
        <v>1349.4721046023008</v>
      </c>
      <c r="E8" s="26">
        <v>1286.2927438453617</v>
      </c>
      <c r="F8" s="26">
        <v>567.6060211797557</v>
      </c>
      <c r="G8" s="26">
        <v>1047.0017444445032</v>
      </c>
      <c r="H8" s="26">
        <v>706.984046412607</v>
      </c>
      <c r="I8" s="26">
        <v>379.8226658027293</v>
      </c>
      <c r="J8" s="26">
        <v>2078.8725208218116</v>
      </c>
      <c r="K8" s="52">
        <v>8143.299644736169</v>
      </c>
    </row>
    <row r="9" spans="1:11" ht="12.75">
      <c r="A9" s="34" t="s">
        <v>10</v>
      </c>
      <c r="B9" s="26">
        <v>1.0656130478732229</v>
      </c>
      <c r="C9" s="26">
        <v>0.7463295691580861</v>
      </c>
      <c r="D9" s="26">
        <v>6.2596055566277355</v>
      </c>
      <c r="E9" s="26">
        <v>6.116882774776546</v>
      </c>
      <c r="F9" s="26">
        <v>4.076593045665824</v>
      </c>
      <c r="G9" s="26">
        <v>6.38896141087357</v>
      </c>
      <c r="H9" s="26">
        <v>2.642631084442139</v>
      </c>
      <c r="I9" s="26">
        <v>2.805667264356685</v>
      </c>
      <c r="J9" s="26">
        <v>16.443629324254115</v>
      </c>
      <c r="K9" s="52">
        <v>46.54591307802792</v>
      </c>
    </row>
    <row r="10" spans="1:11" ht="12.75">
      <c r="A10" s="34" t="s">
        <v>11</v>
      </c>
      <c r="B10" s="37">
        <v>214.128171269071</v>
      </c>
      <c r="C10" s="37">
        <v>514.9315689750601</v>
      </c>
      <c r="D10" s="37">
        <v>1355.7317101589285</v>
      </c>
      <c r="E10" s="37">
        <v>1292.4096266201382</v>
      </c>
      <c r="F10" s="37">
        <v>571.6826142254215</v>
      </c>
      <c r="G10" s="37">
        <v>1053.3907058553768</v>
      </c>
      <c r="H10" s="37">
        <v>709.6266774970491</v>
      </c>
      <c r="I10" s="37">
        <v>382.628333067086</v>
      </c>
      <c r="J10" s="37">
        <v>2095.316150146066</v>
      </c>
      <c r="K10" s="37">
        <v>8189.8455578141975</v>
      </c>
    </row>
    <row r="11" spans="1:11" ht="12.75">
      <c r="A11" s="34" t="s">
        <v>12</v>
      </c>
      <c r="B11" s="26">
        <v>0</v>
      </c>
      <c r="C11" s="26">
        <v>1.0933009999999999</v>
      </c>
      <c r="D11" s="26">
        <v>0.839727</v>
      </c>
      <c r="E11" s="26">
        <v>0.854448</v>
      </c>
      <c r="F11" s="26">
        <v>0.846622</v>
      </c>
      <c r="G11" s="26">
        <v>0.583036</v>
      </c>
      <c r="H11" s="26">
        <v>2.243183</v>
      </c>
      <c r="I11" s="26">
        <v>2.3825149999999997</v>
      </c>
      <c r="J11" s="26">
        <v>2.090245</v>
      </c>
      <c r="K11" s="52">
        <v>10.933076999999997</v>
      </c>
    </row>
    <row r="12" spans="1:11" ht="12.75">
      <c r="A12" s="32" t="s">
        <v>11</v>
      </c>
      <c r="B12" s="37">
        <v>214.128171269071</v>
      </c>
      <c r="C12" s="37">
        <v>516.0248699750601</v>
      </c>
      <c r="D12" s="37">
        <v>1356.5714371589286</v>
      </c>
      <c r="E12" s="37">
        <v>1293.2640746201382</v>
      </c>
      <c r="F12" s="37">
        <v>572.5292362254215</v>
      </c>
      <c r="G12" s="37">
        <v>1053.9737418553768</v>
      </c>
      <c r="H12" s="37">
        <v>711.8698604970491</v>
      </c>
      <c r="I12" s="37">
        <v>385.010848067086</v>
      </c>
      <c r="J12" s="37">
        <v>2097.4063951460657</v>
      </c>
      <c r="K12" s="37">
        <v>8200.778634814198</v>
      </c>
    </row>
    <row r="13" spans="1:11" ht="12.75">
      <c r="A13" s="34"/>
      <c r="B13" s="38"/>
      <c r="C13" s="38"/>
      <c r="D13" s="38"/>
      <c r="E13" s="38"/>
      <c r="F13" s="38"/>
      <c r="G13" s="38"/>
      <c r="H13" s="38"/>
      <c r="I13" s="38"/>
      <c r="J13" s="38"/>
      <c r="K13" s="48"/>
    </row>
    <row r="14" spans="1:11" ht="12.75">
      <c r="A14" s="32" t="s">
        <v>74</v>
      </c>
      <c r="B14" s="38"/>
      <c r="C14" s="38"/>
      <c r="D14" s="38"/>
      <c r="E14" s="38"/>
      <c r="F14" s="38"/>
      <c r="G14" s="38"/>
      <c r="H14" s="38"/>
      <c r="I14" s="38"/>
      <c r="J14" s="38"/>
      <c r="K14" s="48"/>
    </row>
    <row r="15" spans="1:11" ht="12.75">
      <c r="A15" s="32"/>
      <c r="B15" s="38"/>
      <c r="C15" s="38"/>
      <c r="D15" s="38"/>
      <c r="E15" s="38"/>
      <c r="F15" s="38"/>
      <c r="G15" s="38"/>
      <c r="H15" s="38"/>
      <c r="I15" s="38"/>
      <c r="J15" s="38"/>
      <c r="K15" s="48"/>
    </row>
    <row r="16" spans="1:11" ht="12.75">
      <c r="A16" s="34"/>
      <c r="B16" s="40" t="s">
        <v>0</v>
      </c>
      <c r="C16" s="40" t="s">
        <v>1</v>
      </c>
      <c r="D16" s="40" t="s">
        <v>2</v>
      </c>
      <c r="E16" s="40" t="s">
        <v>3</v>
      </c>
      <c r="F16" s="40" t="s">
        <v>4</v>
      </c>
      <c r="G16" s="40" t="s">
        <v>5</v>
      </c>
      <c r="H16" s="40" t="s">
        <v>6</v>
      </c>
      <c r="I16" s="40" t="s">
        <v>7</v>
      </c>
      <c r="J16" s="40" t="s">
        <v>8</v>
      </c>
      <c r="K16" s="40" t="s">
        <v>9</v>
      </c>
    </row>
    <row r="17" spans="1:11" ht="12.75">
      <c r="A17" s="34" t="s">
        <v>73</v>
      </c>
      <c r="B17" s="26">
        <v>439.9804801482529</v>
      </c>
      <c r="C17" s="26">
        <v>895.5808237568749</v>
      </c>
      <c r="D17" s="26">
        <v>2491.379114460536</v>
      </c>
      <c r="E17" s="26">
        <v>2172.746415834894</v>
      </c>
      <c r="F17" s="26">
        <v>864.856226303343</v>
      </c>
      <c r="G17" s="26">
        <v>1877.4385435308764</v>
      </c>
      <c r="H17" s="26">
        <v>1131.4725775995605</v>
      </c>
      <c r="I17" s="26">
        <v>604.8869881526931</v>
      </c>
      <c r="J17" s="26">
        <v>2792.2124037199565</v>
      </c>
      <c r="K17" s="52">
        <v>13270.553573506986</v>
      </c>
    </row>
    <row r="18" spans="1:11" ht="12.75">
      <c r="A18" s="34" t="s">
        <v>10</v>
      </c>
      <c r="B18" s="26">
        <v>6.242530855156191</v>
      </c>
      <c r="C18" s="26">
        <v>12.696091594949946</v>
      </c>
      <c r="D18" s="26">
        <v>35.4538206581166</v>
      </c>
      <c r="E18" s="26">
        <v>30.999638273837977</v>
      </c>
      <c r="F18" s="26">
        <v>9.243456624953193</v>
      </c>
      <c r="G18" s="26">
        <v>26.538704171628925</v>
      </c>
      <c r="H18" s="26">
        <v>15.78062933287199</v>
      </c>
      <c r="I18" s="26">
        <v>8.393676579106366</v>
      </c>
      <c r="J18" s="26">
        <v>38.080858643417244</v>
      </c>
      <c r="K18" s="52">
        <v>183.42940673403842</v>
      </c>
    </row>
    <row r="19" spans="1:11" ht="12.75">
      <c r="A19" s="34" t="s">
        <v>11</v>
      </c>
      <c r="B19" s="37">
        <v>446.2230110034091</v>
      </c>
      <c r="C19" s="37">
        <v>908.2769153518249</v>
      </c>
      <c r="D19" s="37">
        <v>2526.8329351186526</v>
      </c>
      <c r="E19" s="37">
        <v>2203.746054108732</v>
      </c>
      <c r="F19" s="37">
        <v>874.0996829282961</v>
      </c>
      <c r="G19" s="37">
        <v>1903.9772477025053</v>
      </c>
      <c r="H19" s="37">
        <v>1147.2532069324325</v>
      </c>
      <c r="I19" s="37">
        <v>613.2806647317994</v>
      </c>
      <c r="J19" s="37">
        <v>2830.2932623633737</v>
      </c>
      <c r="K19" s="37">
        <v>13453.982980241024</v>
      </c>
    </row>
    <row r="20" spans="1:11" ht="12.75">
      <c r="A20" s="34" t="s">
        <v>12</v>
      </c>
      <c r="B20" s="26">
        <v>0</v>
      </c>
      <c r="C20" s="26">
        <v>0.865803</v>
      </c>
      <c r="D20" s="26">
        <v>0.598884</v>
      </c>
      <c r="E20" s="26">
        <v>0.614379</v>
      </c>
      <c r="F20" s="26">
        <v>0.551052</v>
      </c>
      <c r="G20" s="26">
        <v>0.32868200000000003</v>
      </c>
      <c r="H20" s="26">
        <v>1.506127</v>
      </c>
      <c r="I20" s="26">
        <v>2.055318</v>
      </c>
      <c r="J20" s="26">
        <v>1.915218</v>
      </c>
      <c r="K20" s="52">
        <v>8.435463</v>
      </c>
    </row>
    <row r="21" spans="1:11" ht="12.75">
      <c r="A21" s="32" t="s">
        <v>11</v>
      </c>
      <c r="B21" s="37">
        <v>446.2230110034091</v>
      </c>
      <c r="C21" s="37">
        <v>909.1427183518249</v>
      </c>
      <c r="D21" s="37">
        <v>2527.4318191186526</v>
      </c>
      <c r="E21" s="37">
        <v>2204.360433108732</v>
      </c>
      <c r="F21" s="37">
        <v>874.6507349282962</v>
      </c>
      <c r="G21" s="37">
        <v>1904.3059297025054</v>
      </c>
      <c r="H21" s="37">
        <v>1148.7593339324326</v>
      </c>
      <c r="I21" s="37">
        <v>615.3359827317995</v>
      </c>
      <c r="J21" s="37">
        <v>2832.208480363374</v>
      </c>
      <c r="K21" s="37">
        <v>13462.418443241024</v>
      </c>
    </row>
    <row r="22" spans="1:11" ht="12.75">
      <c r="A22" s="32"/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.75">
      <c r="A24" s="41" t="s">
        <v>15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2.75">
      <c r="A26" s="41" t="s">
        <v>16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2.75">
      <c r="A27" s="34" t="s">
        <v>14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12.75">
      <c r="A28" s="34"/>
      <c r="B28" s="6" t="s">
        <v>0</v>
      </c>
      <c r="C28" s="6" t="s">
        <v>1</v>
      </c>
      <c r="D28" s="6" t="s">
        <v>2</v>
      </c>
      <c r="E28" s="6" t="s">
        <v>3</v>
      </c>
      <c r="F28" s="6" t="s">
        <v>4</v>
      </c>
      <c r="G28" s="6" t="s">
        <v>5</v>
      </c>
      <c r="H28" s="6" t="s">
        <v>6</v>
      </c>
      <c r="I28" s="6" t="s">
        <v>7</v>
      </c>
      <c r="J28" s="6" t="s">
        <v>8</v>
      </c>
      <c r="K28" s="6" t="s">
        <v>9</v>
      </c>
    </row>
    <row r="29" spans="1:11" ht="12.75">
      <c r="A29" s="34" t="s">
        <v>73</v>
      </c>
      <c r="B29" s="42">
        <v>10.097698084583412</v>
      </c>
      <c r="C29" s="42">
        <v>34.24752212639548</v>
      </c>
      <c r="D29" s="42">
        <v>61.21099617341282</v>
      </c>
      <c r="E29" s="42">
        <v>58.80044788815099</v>
      </c>
      <c r="F29" s="42">
        <v>37.996368121869565</v>
      </c>
      <c r="G29" s="42">
        <v>52.749891071799816</v>
      </c>
      <c r="H29" s="42">
        <v>58.498121598193414</v>
      </c>
      <c r="I29" s="42">
        <v>19.393223746479357</v>
      </c>
      <c r="J29" s="42">
        <v>70.10745113256475</v>
      </c>
      <c r="K29" s="37">
        <v>403.10171994344955</v>
      </c>
    </row>
    <row r="30" spans="1:11" ht="12.75">
      <c r="A30" s="34" t="s">
        <v>10</v>
      </c>
      <c r="B30" s="42">
        <v>0.045583591769835036</v>
      </c>
      <c r="C30" s="42">
        <v>0.15460207412236196</v>
      </c>
      <c r="D30" s="42">
        <v>0.2763220922255277</v>
      </c>
      <c r="E30" s="42">
        <v>0.26544026073714483</v>
      </c>
      <c r="F30" s="42">
        <v>0.17152532376145246</v>
      </c>
      <c r="G30" s="42">
        <v>0.23812649976048852</v>
      </c>
      <c r="H30" s="42">
        <v>0.26407548254045105</v>
      </c>
      <c r="I30" s="42">
        <v>0.0875459720577528</v>
      </c>
      <c r="J30" s="42">
        <v>0.31648296529377695</v>
      </c>
      <c r="K30" s="37">
        <v>1.8197042622687913</v>
      </c>
    </row>
    <row r="31" spans="1:11" ht="12.75">
      <c r="A31" s="32" t="s">
        <v>11</v>
      </c>
      <c r="B31" s="37">
        <v>10.143281676353247</v>
      </c>
      <c r="C31" s="37">
        <v>34.40212420051784</v>
      </c>
      <c r="D31" s="37">
        <v>61.48731826563835</v>
      </c>
      <c r="E31" s="37">
        <v>59.065888148888135</v>
      </c>
      <c r="F31" s="37">
        <v>38.167893445631016</v>
      </c>
      <c r="G31" s="37">
        <v>52.988017571560306</v>
      </c>
      <c r="H31" s="37">
        <v>58.76219708073386</v>
      </c>
      <c r="I31" s="37">
        <v>19.48076971853711</v>
      </c>
      <c r="J31" s="37">
        <v>70.42393409785852</v>
      </c>
      <c r="K31" s="37">
        <v>404.9214242057184</v>
      </c>
    </row>
    <row r="32" spans="1:11" ht="12.75">
      <c r="A32" s="33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2.75">
      <c r="A33" s="41" t="s">
        <v>17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2.75">
      <c r="A34" s="34" t="s">
        <v>14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2.75">
      <c r="A35" s="34"/>
      <c r="B35" s="40" t="s">
        <v>0</v>
      </c>
      <c r="C35" s="40" t="s">
        <v>1</v>
      </c>
      <c r="D35" s="40" t="s">
        <v>2</v>
      </c>
      <c r="E35" s="40" t="s">
        <v>3</v>
      </c>
      <c r="F35" s="40" t="s">
        <v>4</v>
      </c>
      <c r="G35" s="40" t="s">
        <v>5</v>
      </c>
      <c r="H35" s="40" t="s">
        <v>6</v>
      </c>
      <c r="I35" s="40" t="s">
        <v>7</v>
      </c>
      <c r="J35" s="40" t="s">
        <v>8</v>
      </c>
      <c r="K35" s="40" t="s">
        <v>9</v>
      </c>
    </row>
    <row r="36" spans="1:11" ht="12.75">
      <c r="A36" s="34" t="s">
        <v>73</v>
      </c>
      <c r="B36" s="42">
        <v>0.06924551446196182</v>
      </c>
      <c r="C36" s="42">
        <v>0.5979760952266026</v>
      </c>
      <c r="D36" s="42">
        <v>8.491964743890248</v>
      </c>
      <c r="E36" s="42">
        <v>4.253317701866944</v>
      </c>
      <c r="F36" s="42">
        <v>2.8971619059212337</v>
      </c>
      <c r="G36" s="42">
        <v>1.455329456488689</v>
      </c>
      <c r="H36" s="42">
        <v>0.6320120260638381</v>
      </c>
      <c r="I36" s="42">
        <v>0.46770063581511506</v>
      </c>
      <c r="J36" s="42">
        <v>39.81793129480928</v>
      </c>
      <c r="K36" s="42">
        <v>58.68263937454391</v>
      </c>
    </row>
    <row r="37" spans="1:11" ht="12.75">
      <c r="A37" s="34" t="s">
        <v>10</v>
      </c>
      <c r="B37" s="42">
        <v>0.0009070852334993589</v>
      </c>
      <c r="C37" s="42">
        <v>0.0078332190926767</v>
      </c>
      <c r="D37" s="42">
        <v>0.11124093571160301</v>
      </c>
      <c r="E37" s="42">
        <v>0.05571655739324797</v>
      </c>
      <c r="F37" s="42">
        <v>0.0379515237100527</v>
      </c>
      <c r="G37" s="42">
        <v>0.01906416422947814</v>
      </c>
      <c r="H37" s="42">
        <v>0.00827907454643048</v>
      </c>
      <c r="I37" s="42">
        <v>0.00612666890761858</v>
      </c>
      <c r="J37" s="42">
        <v>0.5215970707511224</v>
      </c>
      <c r="K37" s="42">
        <v>0.7687162995757293</v>
      </c>
    </row>
    <row r="38" spans="1:11" ht="12.75">
      <c r="A38" s="32" t="s">
        <v>11</v>
      </c>
      <c r="B38" s="37">
        <v>0.07015259969546118</v>
      </c>
      <c r="C38" s="37">
        <v>0.6058093143192792</v>
      </c>
      <c r="D38" s="37">
        <v>8.603205679601851</v>
      </c>
      <c r="E38" s="37">
        <v>4.3090342592601925</v>
      </c>
      <c r="F38" s="37">
        <v>2.9351134296312864</v>
      </c>
      <c r="G38" s="37">
        <v>1.4743936207181672</v>
      </c>
      <c r="H38" s="37">
        <v>0.6402911006102686</v>
      </c>
      <c r="I38" s="37">
        <v>0.47382730472273366</v>
      </c>
      <c r="J38" s="37">
        <v>40.3395283655604</v>
      </c>
      <c r="K38" s="37">
        <v>59.45135567411964</v>
      </c>
    </row>
    <row r="39" spans="1:11" ht="12.75">
      <c r="A39" s="33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2.75">
      <c r="A40" s="41" t="s">
        <v>18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2.75">
      <c r="A41" s="34" t="s">
        <v>14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12.75">
      <c r="A42" s="34"/>
      <c r="B42" s="40" t="s">
        <v>0</v>
      </c>
      <c r="C42" s="40" t="s">
        <v>1</v>
      </c>
      <c r="D42" s="40" t="s">
        <v>2</v>
      </c>
      <c r="E42" s="40" t="s">
        <v>3</v>
      </c>
      <c r="F42" s="40" t="s">
        <v>4</v>
      </c>
      <c r="G42" s="40" t="s">
        <v>5</v>
      </c>
      <c r="H42" s="40" t="s">
        <v>6</v>
      </c>
      <c r="I42" s="40" t="s">
        <v>7</v>
      </c>
      <c r="J42" s="40" t="s">
        <v>8</v>
      </c>
      <c r="K42" s="40" t="s">
        <v>9</v>
      </c>
    </row>
    <row r="43" spans="1:11" ht="12.75">
      <c r="A43" s="34" t="s">
        <v>73</v>
      </c>
      <c r="B43" s="42">
        <v>1.3278745795713325</v>
      </c>
      <c r="C43" s="42">
        <v>2.6168401684810334</v>
      </c>
      <c r="D43" s="42">
        <v>7.521384880493222</v>
      </c>
      <c r="E43" s="42">
        <v>6.600033456600892</v>
      </c>
      <c r="F43" s="42">
        <v>2.47488972744168</v>
      </c>
      <c r="G43" s="42">
        <v>5.649261670361237</v>
      </c>
      <c r="H43" s="42">
        <v>3.2981873132753488</v>
      </c>
      <c r="I43" s="42">
        <v>1.7221813602362022</v>
      </c>
      <c r="J43" s="42">
        <v>7.911106426568337</v>
      </c>
      <c r="K43" s="42">
        <v>39.12175958302929</v>
      </c>
    </row>
    <row r="44" spans="1:11" ht="12.75">
      <c r="A44" s="34" t="s">
        <v>10</v>
      </c>
      <c r="B44" s="42">
        <v>0.017372626891488382</v>
      </c>
      <c r="C44" s="42">
        <v>0.03442159633433767</v>
      </c>
      <c r="D44" s="42">
        <v>0.09852917919214997</v>
      </c>
      <c r="E44" s="42">
        <v>0.08659403430082967</v>
      </c>
      <c r="F44" s="42">
        <v>0.03247240191225865</v>
      </c>
      <c r="G44" s="42">
        <v>0.07412511266050023</v>
      </c>
      <c r="H44" s="42">
        <v>0.04314812120759461</v>
      </c>
      <c r="I44" s="42">
        <v>0.022533513251228668</v>
      </c>
      <c r="J44" s="42">
        <v>0.1032809473000898</v>
      </c>
      <c r="K44" s="42">
        <v>0.5124775330504776</v>
      </c>
    </row>
    <row r="45" spans="1:11" ht="12.75">
      <c r="A45" s="32" t="s">
        <v>11</v>
      </c>
      <c r="B45" s="37">
        <v>1.345247206462821</v>
      </c>
      <c r="C45" s="37">
        <v>2.651261764815371</v>
      </c>
      <c r="D45" s="37">
        <v>7.619914059685372</v>
      </c>
      <c r="E45" s="37">
        <v>6.686627490901722</v>
      </c>
      <c r="F45" s="37">
        <v>2.5073621293539388</v>
      </c>
      <c r="G45" s="37">
        <v>5.723386783021737</v>
      </c>
      <c r="H45" s="37">
        <v>3.3413354344829433</v>
      </c>
      <c r="I45" s="37">
        <v>1.744714873487431</v>
      </c>
      <c r="J45" s="37">
        <v>8.014387373868427</v>
      </c>
      <c r="K45" s="37">
        <v>39.63423711607976</v>
      </c>
    </row>
    <row r="47" spans="1:11" ht="12.75">
      <c r="A47" s="15" t="s">
        <v>125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 t="s">
        <v>62</v>
      </c>
      <c r="B49" s="4"/>
      <c r="C49" s="4"/>
      <c r="D49" s="53">
        <v>0.03119062659220062</v>
      </c>
      <c r="E49" s="4"/>
      <c r="F49" s="4"/>
      <c r="G49" s="4"/>
      <c r="H49" s="4"/>
      <c r="I49" s="4"/>
      <c r="J49" s="4"/>
      <c r="K49" s="4"/>
    </row>
    <row r="50" spans="1:11" ht="12.75">
      <c r="A50" s="4"/>
      <c r="B50" s="14" t="s">
        <v>0</v>
      </c>
      <c r="C50" s="14" t="s">
        <v>1</v>
      </c>
      <c r="D50" s="14" t="s">
        <v>2</v>
      </c>
      <c r="E50" s="14" t="s">
        <v>3</v>
      </c>
      <c r="F50" s="14" t="s">
        <v>4</v>
      </c>
      <c r="G50" s="14" t="s">
        <v>5</v>
      </c>
      <c r="H50" s="14" t="s">
        <v>6</v>
      </c>
      <c r="I50" s="14" t="s">
        <v>7</v>
      </c>
      <c r="J50" s="14" t="s">
        <v>8</v>
      </c>
      <c r="K50" s="14" t="s">
        <v>9</v>
      </c>
    </row>
    <row r="51" spans="1:11" s="45" customFormat="1" ht="12.75">
      <c r="A51" s="47" t="s">
        <v>63</v>
      </c>
      <c r="B51" s="16">
        <v>3.3927415199999995</v>
      </c>
      <c r="C51" s="16">
        <v>12.54559907</v>
      </c>
      <c r="D51" s="16">
        <v>28.85090316</v>
      </c>
      <c r="E51" s="16">
        <v>27.315920809999994</v>
      </c>
      <c r="F51" s="16">
        <v>11.76441049</v>
      </c>
      <c r="G51" s="16">
        <v>22.66907036</v>
      </c>
      <c r="H51" s="16">
        <v>13.03860744</v>
      </c>
      <c r="I51" s="16">
        <v>9.22237835</v>
      </c>
      <c r="J51" s="16">
        <v>0</v>
      </c>
      <c r="K51" s="16">
        <v>128.79963119999996</v>
      </c>
    </row>
    <row r="52" spans="1:11" s="45" customFormat="1" ht="12.75">
      <c r="A52" s="47" t="s">
        <v>79</v>
      </c>
      <c r="B52" s="16">
        <v>0.5169176999999999</v>
      </c>
      <c r="C52" s="16">
        <v>7.08462081</v>
      </c>
      <c r="D52" s="16">
        <v>12.92390827</v>
      </c>
      <c r="E52" s="16">
        <v>15.254854240000002</v>
      </c>
      <c r="F52" s="16">
        <v>7.58457969</v>
      </c>
      <c r="G52" s="16">
        <v>11.55866443</v>
      </c>
      <c r="H52" s="16">
        <v>7.513183830000001</v>
      </c>
      <c r="I52" s="16">
        <v>5.3785261</v>
      </c>
      <c r="J52" s="16">
        <v>0</v>
      </c>
      <c r="K52" s="16">
        <v>67.81525507</v>
      </c>
    </row>
  </sheetData>
  <sheetProtection/>
  <printOptions/>
  <pageMargins left="0.62" right="0.55" top="0.984251969" bottom="0.984251969" header="0.4921259845" footer="0.4921259845"/>
  <pageSetup fitToHeight="1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00390625" style="30" customWidth="1"/>
    <col min="2" max="10" width="8.57421875" style="30" customWidth="1"/>
    <col min="11" max="11" width="9.140625" style="30" bestFit="1" customWidth="1"/>
    <col min="12" max="16384" width="11.421875" style="30" customWidth="1"/>
  </cols>
  <sheetData>
    <row r="1" ht="15.75">
      <c r="A1" s="29" t="s">
        <v>158</v>
      </c>
    </row>
    <row r="2" ht="12.75">
      <c r="A2" s="50"/>
    </row>
    <row r="5" spans="1:11" ht="12.75">
      <c r="A5" s="32" t="s">
        <v>75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34"/>
      <c r="B7" s="35" t="s">
        <v>0</v>
      </c>
      <c r="C7" s="35" t="s">
        <v>1</v>
      </c>
      <c r="D7" s="35" t="s">
        <v>2</v>
      </c>
      <c r="E7" s="35" t="s">
        <v>3</v>
      </c>
      <c r="F7" s="35" t="s">
        <v>4</v>
      </c>
      <c r="G7" s="35" t="s">
        <v>5</v>
      </c>
      <c r="H7" s="35" t="s">
        <v>6</v>
      </c>
      <c r="I7" s="35" t="s">
        <v>7</v>
      </c>
      <c r="J7" s="35" t="s">
        <v>8</v>
      </c>
      <c r="K7" s="35" t="s">
        <v>9</v>
      </c>
    </row>
    <row r="8" spans="1:11" ht="12.75">
      <c r="A8" s="34" t="s">
        <v>120</v>
      </c>
      <c r="B8" s="26">
        <v>224.08989593329895</v>
      </c>
      <c r="C8" s="26">
        <v>545.5608963983672</v>
      </c>
      <c r="D8" s="26">
        <v>1414.853439021088</v>
      </c>
      <c r="E8" s="26">
        <v>1355.7694372548824</v>
      </c>
      <c r="F8" s="26">
        <v>594.8486492803536</v>
      </c>
      <c r="G8" s="26">
        <v>1103.8743594915898</v>
      </c>
      <c r="H8" s="26">
        <v>746.252902630053</v>
      </c>
      <c r="I8" s="26">
        <v>399.3353282918471</v>
      </c>
      <c r="J8" s="26">
        <v>2208.6510026596316</v>
      </c>
      <c r="K8" s="27">
        <v>8593.23591096111</v>
      </c>
    </row>
    <row r="9" spans="1:11" ht="12.75">
      <c r="A9" s="34" t="s">
        <v>10</v>
      </c>
      <c r="B9" s="26">
        <v>1.817161456789443</v>
      </c>
      <c r="C9" s="26">
        <v>5.45361414134776</v>
      </c>
      <c r="D9" s="26">
        <v>10.700399482533568</v>
      </c>
      <c r="E9" s="26">
        <v>10.11151107300166</v>
      </c>
      <c r="F9" s="26">
        <v>3.162106798863737</v>
      </c>
      <c r="G9" s="26">
        <v>7.663312504008878</v>
      </c>
      <c r="H9" s="26">
        <v>7.345568871353171</v>
      </c>
      <c r="I9" s="26">
        <v>2.8002033486670115</v>
      </c>
      <c r="J9" s="26">
        <v>17.982666297310033</v>
      </c>
      <c r="K9" s="27">
        <v>67.03654397387527</v>
      </c>
    </row>
    <row r="10" spans="1:11" ht="12.75">
      <c r="A10" s="36" t="s">
        <v>121</v>
      </c>
      <c r="B10" s="37">
        <v>225.9070573900884</v>
      </c>
      <c r="C10" s="37">
        <v>551.0145105397149</v>
      </c>
      <c r="D10" s="37">
        <v>1425.5538385036216</v>
      </c>
      <c r="E10" s="37">
        <v>1365.880948327884</v>
      </c>
      <c r="F10" s="37">
        <v>598.0107560792173</v>
      </c>
      <c r="G10" s="37">
        <v>1111.5376719955987</v>
      </c>
      <c r="H10" s="37">
        <v>753.5984715014062</v>
      </c>
      <c r="I10" s="37">
        <v>402.1355316405141</v>
      </c>
      <c r="J10" s="37">
        <v>2226.6336689569416</v>
      </c>
      <c r="K10" s="37">
        <v>8660.272454934984</v>
      </c>
    </row>
    <row r="11" spans="1:11" ht="12.75">
      <c r="A11" s="36" t="s">
        <v>122</v>
      </c>
      <c r="B11" s="37">
        <v>-6.3759999999999994</v>
      </c>
      <c r="C11" s="37">
        <v>-12.324499999999999</v>
      </c>
      <c r="D11" s="37">
        <v>-35.492000000000004</v>
      </c>
      <c r="E11" s="37">
        <v>-19.788580000000003</v>
      </c>
      <c r="F11" s="37">
        <v>-9.2675</v>
      </c>
      <c r="G11" s="37">
        <v>-27.473764999999997</v>
      </c>
      <c r="H11" s="37">
        <v>-10.549</v>
      </c>
      <c r="I11" s="37">
        <v>-5.8868</v>
      </c>
      <c r="J11" s="37">
        <v>0</v>
      </c>
      <c r="K11" s="37">
        <v>-127.15814499999999</v>
      </c>
    </row>
    <row r="12" spans="1:11" ht="12.75">
      <c r="A12" s="36" t="s">
        <v>123</v>
      </c>
      <c r="B12" s="37">
        <v>219.5310573900884</v>
      </c>
      <c r="C12" s="37">
        <v>538.690010539715</v>
      </c>
      <c r="D12" s="37">
        <v>1390.0618385036216</v>
      </c>
      <c r="E12" s="37">
        <v>1346.092368327884</v>
      </c>
      <c r="F12" s="37">
        <v>588.7432560792173</v>
      </c>
      <c r="G12" s="37">
        <v>1084.0639069955987</v>
      </c>
      <c r="H12" s="37">
        <v>743.0494715014062</v>
      </c>
      <c r="I12" s="37">
        <v>396.2487316405141</v>
      </c>
      <c r="J12" s="37">
        <v>2226.6336689569416</v>
      </c>
      <c r="K12" s="37">
        <v>8533.114309934985</v>
      </c>
    </row>
    <row r="13" spans="1:11" ht="12.75">
      <c r="A13" s="36" t="s">
        <v>12</v>
      </c>
      <c r="B13" s="26">
        <v>0</v>
      </c>
      <c r="C13" s="26">
        <v>1.010408</v>
      </c>
      <c r="D13" s="26">
        <v>0.80667</v>
      </c>
      <c r="E13" s="26">
        <v>0.880764</v>
      </c>
      <c r="F13" s="26">
        <v>0.881443</v>
      </c>
      <c r="G13" s="26">
        <v>0.590511</v>
      </c>
      <c r="H13" s="26">
        <v>2.061351</v>
      </c>
      <c r="I13" s="26">
        <v>2.609036</v>
      </c>
      <c r="J13" s="26">
        <v>1.7717360000000002</v>
      </c>
      <c r="K13" s="27">
        <v>10.611919</v>
      </c>
    </row>
    <row r="14" spans="1:11" ht="12.75">
      <c r="A14" s="32" t="s">
        <v>11</v>
      </c>
      <c r="B14" s="37">
        <v>219.5310573900884</v>
      </c>
      <c r="C14" s="37">
        <v>539.700418539715</v>
      </c>
      <c r="D14" s="37">
        <v>1390.8685085036216</v>
      </c>
      <c r="E14" s="37">
        <v>1346.973132327884</v>
      </c>
      <c r="F14" s="37">
        <v>589.6246990792173</v>
      </c>
      <c r="G14" s="37">
        <v>1084.6544179955988</v>
      </c>
      <c r="H14" s="37">
        <v>745.1108225014061</v>
      </c>
      <c r="I14" s="37">
        <v>398.8577676405141</v>
      </c>
      <c r="J14" s="37">
        <v>2228.4054049569418</v>
      </c>
      <c r="K14" s="37">
        <v>8543.726228934986</v>
      </c>
    </row>
    <row r="15" spans="1:11" ht="12.75">
      <c r="A15" s="34"/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spans="1:11" ht="12.75">
      <c r="A16" s="32" t="s">
        <v>77</v>
      </c>
      <c r="B16" s="38"/>
      <c r="C16" s="38"/>
      <c r="D16" s="38"/>
      <c r="E16" s="38"/>
      <c r="F16" s="38"/>
      <c r="G16" s="38"/>
      <c r="H16" s="38"/>
      <c r="I16" s="38"/>
      <c r="J16" s="38"/>
      <c r="K16" s="39"/>
    </row>
    <row r="17" spans="1:11" ht="12.75">
      <c r="A17" s="32"/>
      <c r="B17" s="38"/>
      <c r="C17" s="38"/>
      <c r="D17" s="38"/>
      <c r="E17" s="38"/>
      <c r="F17" s="38"/>
      <c r="G17" s="38"/>
      <c r="H17" s="38"/>
      <c r="I17" s="38"/>
      <c r="J17" s="38"/>
      <c r="K17" s="39"/>
    </row>
    <row r="18" spans="1:11" ht="12.75">
      <c r="A18" s="34"/>
      <c r="B18" s="40" t="s">
        <v>0</v>
      </c>
      <c r="C18" s="40" t="s">
        <v>1</v>
      </c>
      <c r="D18" s="40" t="s">
        <v>2</v>
      </c>
      <c r="E18" s="40" t="s">
        <v>3</v>
      </c>
      <c r="F18" s="40" t="s">
        <v>4</v>
      </c>
      <c r="G18" s="40" t="s">
        <v>5</v>
      </c>
      <c r="H18" s="40" t="s">
        <v>6</v>
      </c>
      <c r="I18" s="40" t="s">
        <v>7</v>
      </c>
      <c r="J18" s="40" t="s">
        <v>8</v>
      </c>
      <c r="K18" s="40" t="s">
        <v>9</v>
      </c>
    </row>
    <row r="19" spans="1:11" ht="12.75">
      <c r="A19" s="34" t="s">
        <v>120</v>
      </c>
      <c r="B19" s="26">
        <v>460.330089215208</v>
      </c>
      <c r="C19" s="26">
        <v>934.9618845783359</v>
      </c>
      <c r="D19" s="26">
        <v>2603.6829379361416</v>
      </c>
      <c r="E19" s="26">
        <v>2269.9964257439856</v>
      </c>
      <c r="F19" s="26">
        <v>904.3025077471493</v>
      </c>
      <c r="G19" s="26">
        <v>1961.441291831136</v>
      </c>
      <c r="H19" s="26">
        <v>1180.9452306410515</v>
      </c>
      <c r="I19" s="26">
        <v>632.4901328854647</v>
      </c>
      <c r="J19" s="26">
        <v>2925.427816433201</v>
      </c>
      <c r="K19" s="27">
        <v>13873.578317011674</v>
      </c>
    </row>
    <row r="20" spans="1:11" ht="12.75">
      <c r="A20" s="34" t="s">
        <v>10</v>
      </c>
      <c r="B20" s="26">
        <v>6.5364778252185785</v>
      </c>
      <c r="C20" s="26">
        <v>13.07819904202642</v>
      </c>
      <c r="D20" s="26">
        <v>36.60194739764556</v>
      </c>
      <c r="E20" s="26">
        <v>32.409384777952454</v>
      </c>
      <c r="F20" s="26">
        <v>12.681574973366573</v>
      </c>
      <c r="G20" s="26">
        <v>27.741989848127357</v>
      </c>
      <c r="H20" s="26">
        <v>16.524087098862278</v>
      </c>
      <c r="I20" s="26">
        <v>8.952959075572435</v>
      </c>
      <c r="J20" s="26">
        <v>40.23236669422267</v>
      </c>
      <c r="K20" s="27">
        <v>194.75898673299432</v>
      </c>
    </row>
    <row r="21" spans="1:11" ht="12.75">
      <c r="A21" s="36" t="s">
        <v>121</v>
      </c>
      <c r="B21" s="27">
        <v>466.86656704042656</v>
      </c>
      <c r="C21" s="27">
        <v>948.0400836203623</v>
      </c>
      <c r="D21" s="27">
        <v>2640.2848853337873</v>
      </c>
      <c r="E21" s="27">
        <v>2302.405810521938</v>
      </c>
      <c r="F21" s="27">
        <v>916.9840827205159</v>
      </c>
      <c r="G21" s="27">
        <v>1989.1832816792632</v>
      </c>
      <c r="H21" s="27">
        <v>1197.4693177399138</v>
      </c>
      <c r="I21" s="27">
        <v>641.4430919610371</v>
      </c>
      <c r="J21" s="27">
        <v>2965.6601831274234</v>
      </c>
      <c r="K21" s="27">
        <v>14068.337303744667</v>
      </c>
    </row>
    <row r="22" spans="1:11" ht="12.75">
      <c r="A22" s="36" t="s">
        <v>122</v>
      </c>
      <c r="B22" s="27">
        <v>-6.3759999999999994</v>
      </c>
      <c r="C22" s="27">
        <v>-12.324499999999999</v>
      </c>
      <c r="D22" s="27">
        <v>-37.304</v>
      </c>
      <c r="E22" s="27">
        <v>-37.457420000000006</v>
      </c>
      <c r="F22" s="27">
        <v>-9.2675</v>
      </c>
      <c r="G22" s="27">
        <v>-38.818234999999994</v>
      </c>
      <c r="H22" s="27">
        <v>-19.591</v>
      </c>
      <c r="I22" s="27">
        <v>-8.830200000000003</v>
      </c>
      <c r="J22" s="27">
        <v>-74.687</v>
      </c>
      <c r="K22" s="27">
        <v>-244.65585499999997</v>
      </c>
    </row>
    <row r="23" spans="1:11" ht="12.75">
      <c r="A23" s="36" t="s">
        <v>123</v>
      </c>
      <c r="B23" s="27">
        <v>460.4905670404266</v>
      </c>
      <c r="C23" s="27">
        <v>935.7155836203624</v>
      </c>
      <c r="D23" s="27">
        <v>2602.9808853337872</v>
      </c>
      <c r="E23" s="27">
        <v>2264.9483905219377</v>
      </c>
      <c r="F23" s="27">
        <v>907.7165827205158</v>
      </c>
      <c r="G23" s="27">
        <v>1950.3650466792633</v>
      </c>
      <c r="H23" s="27">
        <v>1177.8783177399139</v>
      </c>
      <c r="I23" s="27">
        <v>632.6128919610371</v>
      </c>
      <c r="J23" s="27">
        <v>2890.9731831274235</v>
      </c>
      <c r="K23" s="27">
        <v>13823.681448744668</v>
      </c>
    </row>
    <row r="24" spans="1:11" ht="12.75">
      <c r="A24" s="36" t="s">
        <v>12</v>
      </c>
      <c r="B24" s="26">
        <v>0</v>
      </c>
      <c r="C24" s="26">
        <v>0.778548</v>
      </c>
      <c r="D24" s="26">
        <v>0.564086</v>
      </c>
      <c r="E24" s="26">
        <v>0.6420800000000001</v>
      </c>
      <c r="F24" s="26">
        <v>0.604855</v>
      </c>
      <c r="G24" s="26">
        <v>0.336551</v>
      </c>
      <c r="H24" s="26">
        <v>1.314725</v>
      </c>
      <c r="I24" s="26">
        <v>2.300453</v>
      </c>
      <c r="J24" s="26">
        <v>1.5799459999999999</v>
      </c>
      <c r="K24" s="27">
        <v>8.121244</v>
      </c>
    </row>
    <row r="25" spans="1:11" ht="12.75">
      <c r="A25" s="32" t="s">
        <v>11</v>
      </c>
      <c r="B25" s="27">
        <v>460.4905670404266</v>
      </c>
      <c r="C25" s="27">
        <v>936.4941316203624</v>
      </c>
      <c r="D25" s="27">
        <v>2603.544971333787</v>
      </c>
      <c r="E25" s="27">
        <v>2265.5904705219377</v>
      </c>
      <c r="F25" s="27">
        <v>908.3214377205159</v>
      </c>
      <c r="G25" s="27">
        <v>1950.7015976792634</v>
      </c>
      <c r="H25" s="27">
        <v>1179.1930427399138</v>
      </c>
      <c r="I25" s="27">
        <v>634.9133449610371</v>
      </c>
      <c r="J25" s="27">
        <v>2892.5531291274233</v>
      </c>
      <c r="K25" s="27">
        <v>13831.802692744668</v>
      </c>
    </row>
    <row r="26" spans="1:11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2.75">
      <c r="A27" s="51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12.75">
      <c r="A28" s="51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12.75">
      <c r="A29" s="41" t="s">
        <v>15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12.75">
      <c r="A31" s="41" t="s">
        <v>16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2.75">
      <c r="A32" s="34" t="s">
        <v>14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2.75">
      <c r="A33" s="34"/>
      <c r="B33" s="6" t="s">
        <v>0</v>
      </c>
      <c r="C33" s="6" t="s">
        <v>1</v>
      </c>
      <c r="D33" s="6" t="s">
        <v>2</v>
      </c>
      <c r="E33" s="6" t="s">
        <v>3</v>
      </c>
      <c r="F33" s="6" t="s">
        <v>4</v>
      </c>
      <c r="G33" s="6" t="s">
        <v>5</v>
      </c>
      <c r="H33" s="6" t="s">
        <v>6</v>
      </c>
      <c r="I33" s="6" t="s">
        <v>7</v>
      </c>
      <c r="J33" s="6" t="s">
        <v>8</v>
      </c>
      <c r="K33" s="6" t="s">
        <v>9</v>
      </c>
    </row>
    <row r="34" spans="1:11" ht="12.75">
      <c r="A34" s="34" t="s">
        <v>76</v>
      </c>
      <c r="B34" s="42">
        <v>10.5490765958397</v>
      </c>
      <c r="C34" s="42">
        <v>35.77842505319526</v>
      </c>
      <c r="D34" s="42">
        <v>63.947196849431485</v>
      </c>
      <c r="E34" s="42">
        <v>61.42889433274001</v>
      </c>
      <c r="F34" s="42">
        <v>39.694848699554896</v>
      </c>
      <c r="G34" s="42">
        <v>55.107870791679986</v>
      </c>
      <c r="H34" s="42">
        <v>61.11305371609811</v>
      </c>
      <c r="I34" s="42">
        <v>20.260122755522875</v>
      </c>
      <c r="J34" s="42">
        <v>73.24133339514735</v>
      </c>
      <c r="K34" s="37">
        <v>421.1208221892098</v>
      </c>
    </row>
    <row r="35" spans="1:11" ht="12.75">
      <c r="A35" s="34" t="s">
        <v>10</v>
      </c>
      <c r="B35" s="42">
        <v>0.07801827459347078</v>
      </c>
      <c r="C35" s="42">
        <v>0.2646080882020396</v>
      </c>
      <c r="D35" s="42">
        <v>0.4729371256294762</v>
      </c>
      <c r="E35" s="42">
        <v>0.4543124037903981</v>
      </c>
      <c r="F35" s="42">
        <v>0.2935729566139853</v>
      </c>
      <c r="G35" s="42">
        <v>0.4075637290739178</v>
      </c>
      <c r="H35" s="42">
        <v>0.45197652730556004</v>
      </c>
      <c r="I35" s="42">
        <v>0.14983869024718297</v>
      </c>
      <c r="J35" s="42">
        <v>0.5416741843232158</v>
      </c>
      <c r="K35" s="37">
        <v>3.114501979779247</v>
      </c>
    </row>
    <row r="36" spans="1:11" ht="12.75">
      <c r="A36" s="43" t="s">
        <v>11</v>
      </c>
      <c r="B36" s="37">
        <v>10.627094870433172</v>
      </c>
      <c r="C36" s="37">
        <v>36.043033141397295</v>
      </c>
      <c r="D36" s="37">
        <v>64.42013397506096</v>
      </c>
      <c r="E36" s="37">
        <v>61.883206736530404</v>
      </c>
      <c r="F36" s="37">
        <v>39.98842165616888</v>
      </c>
      <c r="G36" s="37">
        <v>55.51543452075391</v>
      </c>
      <c r="H36" s="37">
        <v>61.56503024340367</v>
      </c>
      <c r="I36" s="37">
        <v>20.409961445770058</v>
      </c>
      <c r="J36" s="37">
        <v>73.78300757947056</v>
      </c>
      <c r="K36" s="37">
        <v>424.23532416898894</v>
      </c>
    </row>
    <row r="37" spans="1:11" ht="12.75">
      <c r="A37" s="33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12.75">
      <c r="A38" s="41" t="s">
        <v>17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2.75">
      <c r="A39" s="34" t="s">
        <v>14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2.75">
      <c r="A40" s="34"/>
      <c r="B40" s="40" t="s">
        <v>0</v>
      </c>
      <c r="C40" s="40" t="s">
        <v>1</v>
      </c>
      <c r="D40" s="40" t="s">
        <v>2</v>
      </c>
      <c r="E40" s="40" t="s">
        <v>3</v>
      </c>
      <c r="F40" s="40" t="s">
        <v>4</v>
      </c>
      <c r="G40" s="40" t="s">
        <v>5</v>
      </c>
      <c r="H40" s="40" t="s">
        <v>6</v>
      </c>
      <c r="I40" s="40" t="s">
        <v>7</v>
      </c>
      <c r="J40" s="40" t="s">
        <v>8</v>
      </c>
      <c r="K40" s="40" t="s">
        <v>9</v>
      </c>
    </row>
    <row r="41" spans="1:11" ht="12.75">
      <c r="A41" s="34" t="s">
        <v>76</v>
      </c>
      <c r="B41" s="42">
        <v>0.06792391847437777</v>
      </c>
      <c r="C41" s="42">
        <v>0.5865633298761944</v>
      </c>
      <c r="D41" s="42">
        <v>8.329890035955259</v>
      </c>
      <c r="E41" s="42">
        <v>4.172140348324494</v>
      </c>
      <c r="F41" s="42">
        <v>2.8418676737966364</v>
      </c>
      <c r="G41" s="42">
        <v>1.427553540817431</v>
      </c>
      <c r="H41" s="42">
        <v>0.6199496626856343</v>
      </c>
      <c r="I41" s="42">
        <v>0.45877426291592444</v>
      </c>
      <c r="J41" s="42">
        <v>39.05798000205046</v>
      </c>
      <c r="K41" s="42">
        <v>57.56264277489642</v>
      </c>
    </row>
    <row r="42" spans="1:11" ht="12.75">
      <c r="A42" s="34" t="s">
        <v>10</v>
      </c>
      <c r="B42" s="42">
        <v>-0.0007483196630709585</v>
      </c>
      <c r="C42" s="42">
        <v>-0.006462184209062002</v>
      </c>
      <c r="D42" s="42">
        <v>-0.09177062579915037</v>
      </c>
      <c r="E42" s="42">
        <v>-0.04596458405032445</v>
      </c>
      <c r="F42" s="42">
        <v>-0.031308933699841876</v>
      </c>
      <c r="G42" s="42">
        <v>-0.01572739630860974</v>
      </c>
      <c r="H42" s="42">
        <v>-0.006830002348537619</v>
      </c>
      <c r="I42" s="42">
        <v>-0.005054328571758958</v>
      </c>
      <c r="J42" s="42">
        <v>-0.43030283134197816</v>
      </c>
      <c r="K42" s="42">
        <v>-0.6341692059923342</v>
      </c>
    </row>
    <row r="43" spans="1:11" ht="12.75">
      <c r="A43" s="43" t="s">
        <v>11</v>
      </c>
      <c r="B43" s="37">
        <v>0.06717559881130682</v>
      </c>
      <c r="C43" s="37">
        <v>0.5801011456671324</v>
      </c>
      <c r="D43" s="37">
        <v>8.23811941015611</v>
      </c>
      <c r="E43" s="37">
        <v>4.12617576427417</v>
      </c>
      <c r="F43" s="37">
        <v>2.8105587400967944</v>
      </c>
      <c r="G43" s="37">
        <v>1.4118261445088212</v>
      </c>
      <c r="H43" s="37">
        <v>0.6131196603370968</v>
      </c>
      <c r="I43" s="37">
        <v>0.45371993434416547</v>
      </c>
      <c r="J43" s="37">
        <v>38.62767717070849</v>
      </c>
      <c r="K43" s="37">
        <v>56.92847356890408</v>
      </c>
    </row>
    <row r="44" spans="1:11" ht="12.75">
      <c r="A44" s="33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2.75">
      <c r="A45" s="41" t="s">
        <v>18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12.75">
      <c r="A46" s="34" t="s">
        <v>14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ht="12.75">
      <c r="A47" s="34"/>
      <c r="B47" s="40" t="s">
        <v>0</v>
      </c>
      <c r="C47" s="40" t="s">
        <v>1</v>
      </c>
      <c r="D47" s="40" t="s">
        <v>2</v>
      </c>
      <c r="E47" s="40" t="s">
        <v>3</v>
      </c>
      <c r="F47" s="40" t="s">
        <v>4</v>
      </c>
      <c r="G47" s="40" t="s">
        <v>5</v>
      </c>
      <c r="H47" s="40" t="s">
        <v>6</v>
      </c>
      <c r="I47" s="40" t="s">
        <v>7</v>
      </c>
      <c r="J47" s="40" t="s">
        <v>8</v>
      </c>
      <c r="K47" s="40" t="s">
        <v>9</v>
      </c>
    </row>
    <row r="48" spans="1:11" ht="12.75">
      <c r="A48" s="34" t="s">
        <v>76</v>
      </c>
      <c r="B48" s="42">
        <v>1.302946294023891</v>
      </c>
      <c r="C48" s="42">
        <v>2.5544308110182574</v>
      </c>
      <c r="D48" s="42">
        <v>7.37055294961791</v>
      </c>
      <c r="E48" s="42">
        <v>6.462189659352362</v>
      </c>
      <c r="F48" s="42">
        <v>2.4282361910459045</v>
      </c>
      <c r="G48" s="42">
        <v>5.5332736931739985</v>
      </c>
      <c r="H48" s="42">
        <v>3.2381470838693764</v>
      </c>
      <c r="I48" s="42">
        <v>1.6904541615183248</v>
      </c>
      <c r="J48" s="42">
        <v>7.794864339644262</v>
      </c>
      <c r="K48" s="42">
        <v>38.375095183264285</v>
      </c>
    </row>
    <row r="49" spans="1:11" ht="12.75">
      <c r="A49" s="34" t="s">
        <v>10</v>
      </c>
      <c r="B49" s="42">
        <v>-0.014350022029674846</v>
      </c>
      <c r="C49" s="42">
        <v>-0.02827956393137947</v>
      </c>
      <c r="D49" s="42">
        <v>-0.08128180205361332</v>
      </c>
      <c r="E49" s="42">
        <v>-0.07132497824409802</v>
      </c>
      <c r="F49" s="42">
        <v>-0.026745539568405093</v>
      </c>
      <c r="G49" s="42">
        <v>-0.06105021563651917</v>
      </c>
      <c r="H49" s="42">
        <v>-0.03564271907274087</v>
      </c>
      <c r="I49" s="42">
        <v>-0.018611200815714483</v>
      </c>
      <c r="J49" s="42">
        <v>-0.08549342930942021</v>
      </c>
      <c r="K49" s="42">
        <v>-0.4227794706615655</v>
      </c>
    </row>
    <row r="50" spans="1:11" ht="12.75">
      <c r="A50" s="43" t="s">
        <v>11</v>
      </c>
      <c r="B50" s="37">
        <v>1.2885962719942161</v>
      </c>
      <c r="C50" s="37">
        <v>2.526151247086878</v>
      </c>
      <c r="D50" s="37">
        <v>7.289271147564296</v>
      </c>
      <c r="E50" s="37">
        <v>6.390864681108264</v>
      </c>
      <c r="F50" s="37">
        <v>2.4014906514774994</v>
      </c>
      <c r="G50" s="37">
        <v>5.472223477537479</v>
      </c>
      <c r="H50" s="37">
        <v>3.2025043647966354</v>
      </c>
      <c r="I50" s="37">
        <v>1.6718429607026104</v>
      </c>
      <c r="J50" s="37">
        <v>7.709370910334841</v>
      </c>
      <c r="K50" s="37">
        <v>37.95231571260272</v>
      </c>
    </row>
    <row r="52" spans="1:11" ht="12.75">
      <c r="A52" s="41" t="s">
        <v>118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12.75">
      <c r="A53" s="33" t="s">
        <v>14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12.75">
      <c r="A54" s="33" t="s">
        <v>62</v>
      </c>
      <c r="B54" s="33"/>
      <c r="C54" s="33"/>
      <c r="D54" s="54">
        <v>0.07123430185710333</v>
      </c>
      <c r="E54" s="33"/>
      <c r="F54" s="33"/>
      <c r="G54" s="33"/>
      <c r="H54" s="33"/>
      <c r="I54" s="33"/>
      <c r="J54" s="33"/>
      <c r="K54" s="33"/>
    </row>
    <row r="55" spans="1:11" ht="12.75">
      <c r="A55" s="33"/>
      <c r="B55" s="40" t="s">
        <v>0</v>
      </c>
      <c r="C55" s="40" t="s">
        <v>1</v>
      </c>
      <c r="D55" s="40" t="s">
        <v>2</v>
      </c>
      <c r="E55" s="40" t="s">
        <v>3</v>
      </c>
      <c r="F55" s="40" t="s">
        <v>4</v>
      </c>
      <c r="G55" s="40" t="s">
        <v>5</v>
      </c>
      <c r="H55" s="40" t="s">
        <v>6</v>
      </c>
      <c r="I55" s="40" t="s">
        <v>7</v>
      </c>
      <c r="J55" s="40" t="s">
        <v>8</v>
      </c>
      <c r="K55" s="40" t="s">
        <v>9</v>
      </c>
    </row>
    <row r="56" spans="1:11" s="45" customFormat="1" ht="12.75">
      <c r="A56" s="51" t="s">
        <v>63</v>
      </c>
      <c r="B56" s="42">
        <v>3.64844401</v>
      </c>
      <c r="C56" s="42">
        <v>13.439679830000001</v>
      </c>
      <c r="D56" s="42">
        <v>30.9955986</v>
      </c>
      <c r="E56" s="42">
        <v>29.28038183</v>
      </c>
      <c r="F56" s="42">
        <v>12.642760760000002</v>
      </c>
      <c r="G56" s="42">
        <v>24.430691019999998</v>
      </c>
      <c r="H56" s="42">
        <v>14.06967697</v>
      </c>
      <c r="I56" s="42">
        <v>9.93783986</v>
      </c>
      <c r="J56" s="42">
        <v>0</v>
      </c>
      <c r="K56" s="42">
        <v>138.44507288</v>
      </c>
    </row>
    <row r="57" spans="1:11" ht="12.75">
      <c r="A57" s="51" t="s">
        <v>79</v>
      </c>
      <c r="B57" s="42">
        <v>0.5583976</v>
      </c>
      <c r="C57" s="42">
        <v>7.6001353499999995</v>
      </c>
      <c r="D57" s="42">
        <v>13.890989050000002</v>
      </c>
      <c r="E57" s="42">
        <v>16.35697612</v>
      </c>
      <c r="F57" s="42">
        <v>8.15096706</v>
      </c>
      <c r="G57" s="42">
        <v>12.51051936</v>
      </c>
      <c r="H57" s="42">
        <v>8.111850149999999</v>
      </c>
      <c r="I57" s="42">
        <v>5.8001602000000005</v>
      </c>
      <c r="J57" s="42">
        <v>0</v>
      </c>
      <c r="K57" s="42">
        <v>72.97999489</v>
      </c>
    </row>
  </sheetData>
  <sheetProtection/>
  <printOptions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00390625" style="84" customWidth="1"/>
    <col min="2" max="10" width="8.57421875" style="84" customWidth="1"/>
    <col min="11" max="11" width="9.140625" style="84" bestFit="1" customWidth="1"/>
    <col min="12" max="16384" width="11.421875" style="84" customWidth="1"/>
  </cols>
  <sheetData>
    <row r="1" ht="15.75">
      <c r="A1" s="87" t="s">
        <v>178</v>
      </c>
    </row>
    <row r="2" ht="12.75">
      <c r="A2" s="88"/>
    </row>
    <row r="5" spans="1:11" ht="12.75">
      <c r="A5" s="89" t="s">
        <v>126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2.75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12.75">
      <c r="A7" s="91"/>
      <c r="B7" s="35" t="s">
        <v>0</v>
      </c>
      <c r="C7" s="35" t="s">
        <v>1</v>
      </c>
      <c r="D7" s="35" t="s">
        <v>2</v>
      </c>
      <c r="E7" s="35" t="s">
        <v>3</v>
      </c>
      <c r="F7" s="35" t="s">
        <v>4</v>
      </c>
      <c r="G7" s="35" t="s">
        <v>5</v>
      </c>
      <c r="H7" s="35" t="s">
        <v>6</v>
      </c>
      <c r="I7" s="35" t="s">
        <v>7</v>
      </c>
      <c r="J7" s="35" t="s">
        <v>8</v>
      </c>
      <c r="K7" s="35" t="s">
        <v>9</v>
      </c>
    </row>
    <row r="8" spans="1:11" ht="12.75">
      <c r="A8" s="91" t="s">
        <v>127</v>
      </c>
      <c r="B8" s="92">
        <v>234.30963557749973</v>
      </c>
      <c r="C8" s="92">
        <v>565.5505684364019</v>
      </c>
      <c r="D8" s="92">
        <v>1489.7117485337908</v>
      </c>
      <c r="E8" s="92">
        <v>1412.7710731506982</v>
      </c>
      <c r="F8" s="92">
        <v>614.9971607671043</v>
      </c>
      <c r="G8" s="92">
        <v>1144.3148550809854</v>
      </c>
      <c r="H8" s="92">
        <v>777.5716989228221</v>
      </c>
      <c r="I8" s="92">
        <v>414.88636225820767</v>
      </c>
      <c r="J8" s="92">
        <v>2304.841573263351</v>
      </c>
      <c r="K8" s="93">
        <v>8958.954675990863</v>
      </c>
    </row>
    <row r="9" spans="1:11" ht="12.75">
      <c r="A9" s="91" t="s">
        <v>10</v>
      </c>
      <c r="B9" s="92">
        <v>2.1067607397961257</v>
      </c>
      <c r="C9" s="92">
        <v>5.54033076889941</v>
      </c>
      <c r="D9" s="92">
        <v>8.996617397252702</v>
      </c>
      <c r="E9" s="92">
        <v>9.728829048761632</v>
      </c>
      <c r="F9" s="92">
        <v>7.777474828656646</v>
      </c>
      <c r="G9" s="92">
        <v>9.898128556208684</v>
      </c>
      <c r="H9" s="92">
        <v>6.143128451898112</v>
      </c>
      <c r="I9" s="92">
        <v>2.435169112512842</v>
      </c>
      <c r="J9" s="92">
        <v>24.951004883677697</v>
      </c>
      <c r="K9" s="93">
        <v>77.57744378766385</v>
      </c>
    </row>
    <row r="10" spans="1:11" ht="12.75">
      <c r="A10" s="91" t="s">
        <v>121</v>
      </c>
      <c r="B10" s="94">
        <v>236.41639631729586</v>
      </c>
      <c r="C10" s="94">
        <v>571.0908992053013</v>
      </c>
      <c r="D10" s="94">
        <v>1498.7083659310435</v>
      </c>
      <c r="E10" s="94">
        <v>1422.4999021994597</v>
      </c>
      <c r="F10" s="94">
        <v>622.774635595761</v>
      </c>
      <c r="G10" s="94">
        <v>1154.212983637194</v>
      </c>
      <c r="H10" s="94">
        <v>783.7148273747201</v>
      </c>
      <c r="I10" s="94">
        <v>417.3215313707205</v>
      </c>
      <c r="J10" s="94">
        <v>2329.792578147029</v>
      </c>
      <c r="K10" s="94">
        <v>9036.532119778527</v>
      </c>
    </row>
    <row r="11" spans="1:11" ht="12.75">
      <c r="A11" s="91" t="s">
        <v>122</v>
      </c>
      <c r="B11" s="94">
        <v>-6.3759999999999994</v>
      </c>
      <c r="C11" s="94">
        <v>-12.324499999999999</v>
      </c>
      <c r="D11" s="94">
        <v>-35.492000000000004</v>
      </c>
      <c r="E11" s="94">
        <v>-19.788580000000003</v>
      </c>
      <c r="F11" s="94">
        <v>-9.2675</v>
      </c>
      <c r="G11" s="94">
        <v>-27.473764999999997</v>
      </c>
      <c r="H11" s="94">
        <v>-10.549</v>
      </c>
      <c r="I11" s="94">
        <v>-5.8868</v>
      </c>
      <c r="J11" s="94">
        <v>0</v>
      </c>
      <c r="K11" s="94">
        <v>-127.15814499999999</v>
      </c>
    </row>
    <row r="12" spans="1:11" ht="12.75">
      <c r="A12" s="91" t="s">
        <v>123</v>
      </c>
      <c r="B12" s="94">
        <v>230.04039631729586</v>
      </c>
      <c r="C12" s="94">
        <v>558.7663992053014</v>
      </c>
      <c r="D12" s="94">
        <v>1463.2163659310436</v>
      </c>
      <c r="E12" s="94">
        <v>1402.7113221994598</v>
      </c>
      <c r="F12" s="94">
        <v>613.5071355957609</v>
      </c>
      <c r="G12" s="94">
        <v>1126.739218637194</v>
      </c>
      <c r="H12" s="94">
        <v>773.1658273747202</v>
      </c>
      <c r="I12" s="94">
        <v>411.4347313707205</v>
      </c>
      <c r="J12" s="94">
        <v>2329.792578147029</v>
      </c>
      <c r="K12" s="94">
        <v>8909.373974778528</v>
      </c>
    </row>
    <row r="13" spans="1:11" ht="12.75">
      <c r="A13" s="91" t="s">
        <v>12</v>
      </c>
      <c r="B13" s="92">
        <v>0</v>
      </c>
      <c r="C13" s="92">
        <v>0.8553379999999999</v>
      </c>
      <c r="D13" s="92">
        <v>0.783439</v>
      </c>
      <c r="E13" s="92">
        <v>0.920507</v>
      </c>
      <c r="F13" s="92">
        <v>0.960346</v>
      </c>
      <c r="G13" s="92">
        <v>0.504076</v>
      </c>
      <c r="H13" s="92">
        <v>2.018033</v>
      </c>
      <c r="I13" s="92">
        <v>2.751754</v>
      </c>
      <c r="J13" s="92">
        <v>1.735278</v>
      </c>
      <c r="K13" s="93">
        <v>10.528770999999999</v>
      </c>
    </row>
    <row r="14" spans="1:11" ht="12.75">
      <c r="A14" s="89" t="s">
        <v>11</v>
      </c>
      <c r="B14" s="94">
        <v>230.04039631729586</v>
      </c>
      <c r="C14" s="94">
        <v>559.6217372053013</v>
      </c>
      <c r="D14" s="94">
        <v>1463.9998049310436</v>
      </c>
      <c r="E14" s="94">
        <v>1403.6318291994598</v>
      </c>
      <c r="F14" s="94">
        <v>614.4674815957609</v>
      </c>
      <c r="G14" s="94">
        <v>1127.243294637194</v>
      </c>
      <c r="H14" s="94">
        <v>775.1838603747201</v>
      </c>
      <c r="I14" s="94">
        <v>414.1864853707205</v>
      </c>
      <c r="J14" s="94">
        <v>2331.527856147029</v>
      </c>
      <c r="K14" s="94">
        <v>8919.902745778527</v>
      </c>
    </row>
    <row r="15" spans="1:11" ht="12.75">
      <c r="A15" s="91"/>
      <c r="B15" s="83"/>
      <c r="C15" s="83"/>
      <c r="D15" s="83"/>
      <c r="E15" s="83"/>
      <c r="F15" s="83"/>
      <c r="G15" s="83"/>
      <c r="H15" s="83"/>
      <c r="I15" s="83"/>
      <c r="J15" s="83"/>
      <c r="K15" s="85"/>
    </row>
    <row r="16" spans="1:11" ht="12.75">
      <c r="A16" s="89" t="s">
        <v>128</v>
      </c>
      <c r="B16" s="83"/>
      <c r="C16" s="83"/>
      <c r="D16" s="83"/>
      <c r="E16" s="83"/>
      <c r="F16" s="83"/>
      <c r="G16" s="83"/>
      <c r="H16" s="83"/>
      <c r="I16" s="83"/>
      <c r="J16" s="83"/>
      <c r="K16" s="85"/>
    </row>
    <row r="17" spans="1:11" ht="12.75">
      <c r="A17" s="89"/>
      <c r="B17" s="83"/>
      <c r="C17" s="83"/>
      <c r="D17" s="83"/>
      <c r="E17" s="83"/>
      <c r="F17" s="83"/>
      <c r="G17" s="83"/>
      <c r="H17" s="83"/>
      <c r="I17" s="83"/>
      <c r="J17" s="83"/>
      <c r="K17" s="85"/>
    </row>
    <row r="18" spans="1:11" ht="12.75">
      <c r="A18" s="91"/>
      <c r="B18" s="40" t="s">
        <v>0</v>
      </c>
      <c r="C18" s="40" t="s">
        <v>1</v>
      </c>
      <c r="D18" s="40" t="s">
        <v>2</v>
      </c>
      <c r="E18" s="40" t="s">
        <v>3</v>
      </c>
      <c r="F18" s="40" t="s">
        <v>4</v>
      </c>
      <c r="G18" s="40" t="s">
        <v>5</v>
      </c>
      <c r="H18" s="40" t="s">
        <v>6</v>
      </c>
      <c r="I18" s="40" t="s">
        <v>7</v>
      </c>
      <c r="J18" s="40" t="s">
        <v>8</v>
      </c>
      <c r="K18" s="40" t="s">
        <v>9</v>
      </c>
    </row>
    <row r="19" spans="1:11" ht="12.75">
      <c r="A19" s="91" t="s">
        <v>127</v>
      </c>
      <c r="B19" s="92">
        <v>485.96681518743947</v>
      </c>
      <c r="C19" s="92">
        <v>980.5013709294155</v>
      </c>
      <c r="D19" s="92">
        <v>2746.6894291189756</v>
      </c>
      <c r="E19" s="92">
        <v>2393.503063850654</v>
      </c>
      <c r="F19" s="92">
        <v>952.1723233651464</v>
      </c>
      <c r="G19" s="92">
        <v>2066.674439062364</v>
      </c>
      <c r="H19" s="92">
        <v>1246.7631974295782</v>
      </c>
      <c r="I19" s="92">
        <v>666.4978422767856</v>
      </c>
      <c r="J19" s="92">
        <v>3094.166032866718</v>
      </c>
      <c r="K19" s="93">
        <v>14632.934514087077</v>
      </c>
    </row>
    <row r="20" spans="1:11" ht="12.75">
      <c r="A20" s="91" t="s">
        <v>10</v>
      </c>
      <c r="B20" s="92">
        <v>3.04273472987063</v>
      </c>
      <c r="C20" s="92">
        <v>6.0518612978734305</v>
      </c>
      <c r="D20" s="92">
        <v>17.132013704159764</v>
      </c>
      <c r="E20" s="92">
        <v>15.001164086028934</v>
      </c>
      <c r="F20" s="92">
        <v>5.7747202839415985</v>
      </c>
      <c r="G20" s="92">
        <v>13.009677145163064</v>
      </c>
      <c r="H20" s="92">
        <v>7.713559565014206</v>
      </c>
      <c r="I20" s="92">
        <v>3.845532649408095</v>
      </c>
      <c r="J20" s="92">
        <v>18.874783057515977</v>
      </c>
      <c r="K20" s="93">
        <v>90.44604651897569</v>
      </c>
    </row>
    <row r="21" spans="1:11" ht="12.75">
      <c r="A21" s="91" t="s">
        <v>121</v>
      </c>
      <c r="B21" s="93">
        <v>489.0095499173101</v>
      </c>
      <c r="C21" s="93">
        <v>986.553232227289</v>
      </c>
      <c r="D21" s="93">
        <v>2763.8214428231354</v>
      </c>
      <c r="E21" s="93">
        <v>2408.504227936683</v>
      </c>
      <c r="F21" s="93">
        <v>957.9470436490881</v>
      </c>
      <c r="G21" s="93">
        <v>2079.684116207527</v>
      </c>
      <c r="H21" s="93">
        <v>1254.4767569945925</v>
      </c>
      <c r="I21" s="93">
        <v>670.3433749261937</v>
      </c>
      <c r="J21" s="93">
        <v>3113.0408159242343</v>
      </c>
      <c r="K21" s="93">
        <v>14723.380560606052</v>
      </c>
    </row>
    <row r="22" spans="1:11" ht="12.75">
      <c r="A22" s="91" t="s">
        <v>122</v>
      </c>
      <c r="B22" s="93">
        <v>-6.3759999999999994</v>
      </c>
      <c r="C22" s="93">
        <v>-12.324499999999999</v>
      </c>
      <c r="D22" s="93">
        <v>-37.304</v>
      </c>
      <c r="E22" s="93">
        <v>-37.457420000000006</v>
      </c>
      <c r="F22" s="93">
        <v>-9.2675</v>
      </c>
      <c r="G22" s="93">
        <v>-38.818234999999994</v>
      </c>
      <c r="H22" s="93">
        <v>-19.591</v>
      </c>
      <c r="I22" s="93">
        <v>-8.830200000000003</v>
      </c>
      <c r="J22" s="93">
        <v>-74.687</v>
      </c>
      <c r="K22" s="93">
        <v>-244.65585499999997</v>
      </c>
    </row>
    <row r="23" spans="1:11" ht="12.75">
      <c r="A23" s="91" t="s">
        <v>123</v>
      </c>
      <c r="B23" s="93">
        <v>482.6335499173101</v>
      </c>
      <c r="C23" s="93">
        <v>974.228732227289</v>
      </c>
      <c r="D23" s="93">
        <v>2726.5174428231353</v>
      </c>
      <c r="E23" s="93">
        <v>2371.046807936683</v>
      </c>
      <c r="F23" s="93">
        <v>948.679543649088</v>
      </c>
      <c r="G23" s="93">
        <v>2040.865881207527</v>
      </c>
      <c r="H23" s="93">
        <v>1234.8857569945926</v>
      </c>
      <c r="I23" s="93">
        <v>661.5131749261938</v>
      </c>
      <c r="J23" s="93">
        <v>3038.3538159242344</v>
      </c>
      <c r="K23" s="93">
        <v>14478.724705606051</v>
      </c>
    </row>
    <row r="24" spans="1:11" ht="12.75">
      <c r="A24" s="91" t="s">
        <v>12</v>
      </c>
      <c r="B24" s="92">
        <v>0</v>
      </c>
      <c r="C24" s="92">
        <v>0.615317</v>
      </c>
      <c r="D24" s="92">
        <v>0.539633</v>
      </c>
      <c r="E24" s="92">
        <v>0.6839160000000001</v>
      </c>
      <c r="F24" s="92">
        <v>0.690519</v>
      </c>
      <c r="G24" s="92">
        <v>0.245567</v>
      </c>
      <c r="H24" s="92">
        <v>1.269127</v>
      </c>
      <c r="I24" s="92">
        <v>2.435211</v>
      </c>
      <c r="J24" s="92">
        <v>1.541569</v>
      </c>
      <c r="K24" s="93">
        <v>8.020859</v>
      </c>
    </row>
    <row r="25" spans="1:11" ht="12.75">
      <c r="A25" s="89" t="s">
        <v>11</v>
      </c>
      <c r="B25" s="93">
        <v>482.6335499173101</v>
      </c>
      <c r="C25" s="93">
        <v>974.844049227289</v>
      </c>
      <c r="D25" s="93">
        <v>2727.057075823135</v>
      </c>
      <c r="E25" s="93">
        <v>2371.730723936683</v>
      </c>
      <c r="F25" s="93">
        <v>949.370062649088</v>
      </c>
      <c r="G25" s="93">
        <v>2041.111448207527</v>
      </c>
      <c r="H25" s="93">
        <v>1236.1548839945926</v>
      </c>
      <c r="I25" s="93">
        <v>663.9483859261937</v>
      </c>
      <c r="J25" s="93">
        <v>3039.8953849242343</v>
      </c>
      <c r="K25" s="93">
        <v>14486.745564606052</v>
      </c>
    </row>
    <row r="26" spans="1:11" ht="12.75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1:11" ht="12.75">
      <c r="A27" s="95"/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spans="1:11" ht="12.75">
      <c r="A28" s="95"/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1:11" ht="12.75">
      <c r="A29" s="96" t="s">
        <v>15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1:11" ht="12.7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1:11" ht="12.75">
      <c r="A31" s="96" t="s">
        <v>16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1:11" ht="12.75">
      <c r="A32" s="91" t="s">
        <v>14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</row>
    <row r="33" spans="1:11" ht="12.75">
      <c r="A33" s="91"/>
      <c r="B33" s="6" t="s">
        <v>0</v>
      </c>
      <c r="C33" s="6" t="s">
        <v>1</v>
      </c>
      <c r="D33" s="6" t="s">
        <v>2</v>
      </c>
      <c r="E33" s="6" t="s">
        <v>3</v>
      </c>
      <c r="F33" s="6" t="s">
        <v>4</v>
      </c>
      <c r="G33" s="6" t="s">
        <v>5</v>
      </c>
      <c r="H33" s="6" t="s">
        <v>6</v>
      </c>
      <c r="I33" s="6" t="s">
        <v>7</v>
      </c>
      <c r="J33" s="6" t="s">
        <v>8</v>
      </c>
      <c r="K33" s="6" t="s">
        <v>9</v>
      </c>
    </row>
    <row r="34" spans="1:11" ht="12.75">
      <c r="A34" s="91" t="s">
        <v>129</v>
      </c>
      <c r="B34" s="97">
        <v>10.828934217278082</v>
      </c>
      <c r="C34" s="97">
        <v>36.72759485428926</v>
      </c>
      <c r="D34" s="97">
        <v>65.64365911751207</v>
      </c>
      <c r="E34" s="97">
        <v>63.05854827442531</v>
      </c>
      <c r="F34" s="97">
        <v>40.74791773735059</v>
      </c>
      <c r="G34" s="97">
        <v>56.569833599720965</v>
      </c>
      <c r="H34" s="97">
        <v>62.73432868708166</v>
      </c>
      <c r="I34" s="97">
        <v>20.79760579613767</v>
      </c>
      <c r="J34" s="97">
        <v>75.18436084107803</v>
      </c>
      <c r="K34" s="94">
        <v>432.2927831248736</v>
      </c>
    </row>
    <row r="35" spans="1:11" ht="12.75">
      <c r="A35" s="91" t="s">
        <v>10</v>
      </c>
      <c r="B35" s="97">
        <v>0.10958966987179156</v>
      </c>
      <c r="C35" s="97">
        <v>0.3716861617687537</v>
      </c>
      <c r="D35" s="97">
        <v>0.6643190167677167</v>
      </c>
      <c r="E35" s="97">
        <v>0.6381574907863542</v>
      </c>
      <c r="F35" s="97">
        <v>0.41237214699062313</v>
      </c>
      <c r="G35" s="97">
        <v>0.572491185605686</v>
      </c>
      <c r="H35" s="97">
        <v>0.6348763629458699</v>
      </c>
      <c r="I35" s="97">
        <v>0.21047341387352572</v>
      </c>
      <c r="J35" s="97">
        <v>0.7608716720200173</v>
      </c>
      <c r="K35" s="94">
        <v>4.374837120630339</v>
      </c>
    </row>
    <row r="36" spans="1:11" ht="12.75">
      <c r="A36" s="89" t="s">
        <v>11</v>
      </c>
      <c r="B36" s="94">
        <v>10.938523887149874</v>
      </c>
      <c r="C36" s="94">
        <v>37.099281016058015</v>
      </c>
      <c r="D36" s="94">
        <v>66.3079781342798</v>
      </c>
      <c r="E36" s="94">
        <v>63.69670576521167</v>
      </c>
      <c r="F36" s="94">
        <v>41.16028988434121</v>
      </c>
      <c r="G36" s="94">
        <v>57.14232478532665</v>
      </c>
      <c r="H36" s="94">
        <v>63.369205050027524</v>
      </c>
      <c r="I36" s="94">
        <v>21.008079210011196</v>
      </c>
      <c r="J36" s="94">
        <v>75.94523251309805</v>
      </c>
      <c r="K36" s="94">
        <v>436.667620245504</v>
      </c>
    </row>
    <row r="37" spans="1:11" ht="12.75">
      <c r="A37" s="90"/>
      <c r="B37" s="83"/>
      <c r="C37" s="83"/>
      <c r="D37" s="83"/>
      <c r="E37" s="83"/>
      <c r="F37" s="83"/>
      <c r="G37" s="83"/>
      <c r="H37" s="83"/>
      <c r="I37" s="83"/>
      <c r="J37" s="83"/>
      <c r="K37" s="83"/>
    </row>
    <row r="38" spans="1:11" ht="12.75">
      <c r="A38" s="96" t="s">
        <v>17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</row>
    <row r="39" spans="1:11" ht="12.75">
      <c r="A39" s="91" t="s">
        <v>14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</row>
    <row r="40" spans="1:11" ht="12.75">
      <c r="A40" s="91"/>
      <c r="B40" s="40" t="s">
        <v>0</v>
      </c>
      <c r="C40" s="40" t="s">
        <v>1</v>
      </c>
      <c r="D40" s="40" t="s">
        <v>2</v>
      </c>
      <c r="E40" s="40" t="s">
        <v>3</v>
      </c>
      <c r="F40" s="40" t="s">
        <v>4</v>
      </c>
      <c r="G40" s="40" t="s">
        <v>5</v>
      </c>
      <c r="H40" s="40" t="s">
        <v>6</v>
      </c>
      <c r="I40" s="40" t="s">
        <v>7</v>
      </c>
      <c r="J40" s="40" t="s">
        <v>8</v>
      </c>
      <c r="K40" s="40" t="s">
        <v>9</v>
      </c>
    </row>
    <row r="41" spans="1:11" ht="12.75">
      <c r="A41" s="91" t="s">
        <v>129</v>
      </c>
      <c r="B41" s="97">
        <v>0.06762568194003048</v>
      </c>
      <c r="C41" s="97">
        <v>0.5839878804821276</v>
      </c>
      <c r="D41" s="97">
        <v>8.2933156216456</v>
      </c>
      <c r="E41" s="97">
        <v>4.15382154831645</v>
      </c>
      <c r="F41" s="97">
        <v>2.829389760490937</v>
      </c>
      <c r="G41" s="97">
        <v>1.4212855187396238</v>
      </c>
      <c r="H41" s="97">
        <v>0.6172276224526512</v>
      </c>
      <c r="I41" s="97">
        <v>0.45675990259495164</v>
      </c>
      <c r="J41" s="97">
        <v>38.88648641251599</v>
      </c>
      <c r="K41" s="97">
        <v>57.309899949178366</v>
      </c>
    </row>
    <row r="42" spans="1:11" ht="12.75">
      <c r="A42" s="91" t="s">
        <v>10</v>
      </c>
      <c r="B42" s="97">
        <v>-0.0002668320828562969</v>
      </c>
      <c r="C42" s="97">
        <v>-0.00230425332568268</v>
      </c>
      <c r="D42" s="97">
        <v>-0.032723110771299614</v>
      </c>
      <c r="E42" s="97">
        <v>-0.01638982149612275</v>
      </c>
      <c r="F42" s="97">
        <v>-0.011163982992047294</v>
      </c>
      <c r="G42" s="97">
        <v>-0.0056079963176575804</v>
      </c>
      <c r="H42" s="97">
        <v>-0.002435408078273099</v>
      </c>
      <c r="I42" s="97">
        <v>-0.001802247203698812</v>
      </c>
      <c r="J42" s="97">
        <v>-0.15343523150888358</v>
      </c>
      <c r="K42" s="97">
        <v>-0.2261288837765217</v>
      </c>
    </row>
    <row r="43" spans="1:11" ht="12.75">
      <c r="A43" s="89" t="s">
        <v>11</v>
      </c>
      <c r="B43" s="94">
        <v>0.06735884985717418</v>
      </c>
      <c r="C43" s="94">
        <v>0.581683627156445</v>
      </c>
      <c r="D43" s="94">
        <v>8.2605925108743</v>
      </c>
      <c r="E43" s="94">
        <v>4.137431726820327</v>
      </c>
      <c r="F43" s="94">
        <v>2.8182257774988897</v>
      </c>
      <c r="G43" s="94">
        <v>1.4156775224219662</v>
      </c>
      <c r="H43" s="94">
        <v>0.614792214374378</v>
      </c>
      <c r="I43" s="94">
        <v>0.4549576553912528</v>
      </c>
      <c r="J43" s="94">
        <v>38.733051181007106</v>
      </c>
      <c r="K43" s="94">
        <v>57.08377106540185</v>
      </c>
    </row>
    <row r="44" spans="1:11" ht="12.75">
      <c r="A44" s="90"/>
      <c r="B44" s="83"/>
      <c r="C44" s="83"/>
      <c r="D44" s="83"/>
      <c r="E44" s="83"/>
      <c r="F44" s="83"/>
      <c r="G44" s="83"/>
      <c r="H44" s="83"/>
      <c r="I44" s="83"/>
      <c r="J44" s="83"/>
      <c r="K44" s="83"/>
    </row>
    <row r="45" spans="1:11" ht="12.75">
      <c r="A45" s="96" t="s">
        <v>18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</row>
    <row r="46" spans="1:11" ht="12.75">
      <c r="A46" s="91" t="s">
        <v>14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spans="1:11" ht="12.75">
      <c r="A47" s="91"/>
      <c r="B47" s="40" t="s">
        <v>0</v>
      </c>
      <c r="C47" s="40" t="s">
        <v>1</v>
      </c>
      <c r="D47" s="40" t="s">
        <v>2</v>
      </c>
      <c r="E47" s="40" t="s">
        <v>3</v>
      </c>
      <c r="F47" s="40" t="s">
        <v>4</v>
      </c>
      <c r="G47" s="40" t="s">
        <v>5</v>
      </c>
      <c r="H47" s="40" t="s">
        <v>6</v>
      </c>
      <c r="I47" s="40" t="s">
        <v>7</v>
      </c>
      <c r="J47" s="40" t="s">
        <v>8</v>
      </c>
      <c r="K47" s="40" t="s">
        <v>9</v>
      </c>
    </row>
    <row r="48" spans="1:11" ht="12.75">
      <c r="A48" s="91" t="s">
        <v>129</v>
      </c>
      <c r="B48" s="97">
        <v>1.2973614509381524</v>
      </c>
      <c r="C48" s="97">
        <v>2.528013408809497</v>
      </c>
      <c r="D48" s="97">
        <v>7.334936734731149</v>
      </c>
      <c r="E48" s="97">
        <v>6.421992580303747</v>
      </c>
      <c r="F48" s="97">
        <v>2.412466755918582</v>
      </c>
      <c r="G48" s="97">
        <v>5.495049895073765</v>
      </c>
      <c r="H48" s="97">
        <v>3.2264760425405394</v>
      </c>
      <c r="I48" s="97">
        <v>1.683104310779826</v>
      </c>
      <c r="J48" s="97">
        <v>7.807198787023663</v>
      </c>
      <c r="K48" s="97">
        <v>38.20659996611892</v>
      </c>
    </row>
    <row r="49" spans="1:11" ht="12.75">
      <c r="A49" s="91" t="s">
        <v>10</v>
      </c>
      <c r="B49" s="97">
        <v>-0.005118489646846001</v>
      </c>
      <c r="C49" s="97">
        <v>-0.010034817029489204</v>
      </c>
      <c r="D49" s="97">
        <v>-0.02895445432953329</v>
      </c>
      <c r="E49" s="97">
        <v>-0.025386043169284677</v>
      </c>
      <c r="F49" s="97">
        <v>-0.009539074527454887</v>
      </c>
      <c r="G49" s="97">
        <v>-0.02173689294914038</v>
      </c>
      <c r="H49" s="97">
        <v>-0.012720725635253984</v>
      </c>
      <c r="I49" s="97">
        <v>-0.006640774192984509</v>
      </c>
      <c r="J49" s="97">
        <v>-0.030621317704369176</v>
      </c>
      <c r="K49" s="97">
        <v>-0.1507525891843561</v>
      </c>
    </row>
    <row r="50" spans="1:11" ht="12.75">
      <c r="A50" s="89" t="s">
        <v>11</v>
      </c>
      <c r="B50" s="94">
        <v>1.2922429612913064</v>
      </c>
      <c r="C50" s="94">
        <v>2.517978591780008</v>
      </c>
      <c r="D50" s="94">
        <v>7.305982280401615</v>
      </c>
      <c r="E50" s="94">
        <v>6.3966065371344625</v>
      </c>
      <c r="F50" s="94">
        <v>2.402927681391127</v>
      </c>
      <c r="G50" s="94">
        <v>5.473313002124625</v>
      </c>
      <c r="H50" s="94">
        <v>3.2137553169052855</v>
      </c>
      <c r="I50" s="94">
        <v>1.6764635365868414</v>
      </c>
      <c r="J50" s="94">
        <v>7.776577469319293</v>
      </c>
      <c r="K50" s="94">
        <v>38.055847376934565</v>
      </c>
    </row>
    <row r="52" spans="1:11" ht="12.75">
      <c r="A52" s="96" t="s">
        <v>118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1" ht="12.75">
      <c r="A53" s="90" t="s">
        <v>14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1" ht="12.75">
      <c r="A54" s="90" t="s">
        <v>62</v>
      </c>
      <c r="B54" s="90"/>
      <c r="C54" s="90"/>
      <c r="D54" s="98">
        <v>0.03914615785119757</v>
      </c>
      <c r="E54" s="90"/>
      <c r="F54" s="90"/>
      <c r="G54" s="90"/>
      <c r="H54" s="90"/>
      <c r="I54" s="90"/>
      <c r="J54" s="90"/>
      <c r="K54" s="90"/>
    </row>
    <row r="55" spans="1:11" ht="12.75">
      <c r="A55" s="90"/>
      <c r="B55" s="40" t="s">
        <v>0</v>
      </c>
      <c r="C55" s="40" t="s">
        <v>1</v>
      </c>
      <c r="D55" s="40" t="s">
        <v>2</v>
      </c>
      <c r="E55" s="40" t="s">
        <v>3</v>
      </c>
      <c r="F55" s="40" t="s">
        <v>4</v>
      </c>
      <c r="G55" s="40" t="s">
        <v>5</v>
      </c>
      <c r="H55" s="40" t="s">
        <v>6</v>
      </c>
      <c r="I55" s="40" t="s">
        <v>7</v>
      </c>
      <c r="J55" s="40" t="s">
        <v>8</v>
      </c>
      <c r="K55" s="40" t="s">
        <v>9</v>
      </c>
    </row>
    <row r="56" spans="1:11" s="86" customFormat="1" ht="12.75">
      <c r="A56" s="95" t="s">
        <v>63</v>
      </c>
      <c r="B56" s="97">
        <v>3.8083217499999997</v>
      </c>
      <c r="C56" s="97">
        <v>13.94453878</v>
      </c>
      <c r="D56" s="97">
        <v>32.313357610000004</v>
      </c>
      <c r="E56" s="97">
        <v>30.48296453</v>
      </c>
      <c r="F56" s="97">
        <v>13.02093125</v>
      </c>
      <c r="G56" s="97">
        <v>25.92599505</v>
      </c>
      <c r="H56" s="97">
        <v>14.63621399</v>
      </c>
      <c r="I56" s="97">
        <v>10.367359139999998</v>
      </c>
      <c r="J56" s="97">
        <v>0</v>
      </c>
      <c r="K56" s="97">
        <v>144.4996821</v>
      </c>
    </row>
    <row r="57" spans="1:11" ht="12.75">
      <c r="A57" s="95" t="s">
        <v>79</v>
      </c>
      <c r="B57" s="97">
        <v>0.5859327900000001</v>
      </c>
      <c r="C57" s="97">
        <v>7.899425099999998</v>
      </c>
      <c r="D57" s="97">
        <v>14.488686309999999</v>
      </c>
      <c r="E57" s="97">
        <v>17.03446576</v>
      </c>
      <c r="F57" s="97">
        <v>8.37943385</v>
      </c>
      <c r="G57" s="97">
        <v>13.367557889999999</v>
      </c>
      <c r="H57" s="97">
        <v>8.43042049</v>
      </c>
      <c r="I57" s="97">
        <v>6.05189531</v>
      </c>
      <c r="J57" s="97">
        <v>0</v>
      </c>
      <c r="K57" s="97">
        <v>76.2378175</v>
      </c>
    </row>
  </sheetData>
  <sheetProtection/>
  <printOptions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00390625" style="30" customWidth="1"/>
    <col min="2" max="10" width="8.57421875" style="30" customWidth="1"/>
    <col min="11" max="11" width="9.140625" style="30" bestFit="1" customWidth="1"/>
    <col min="12" max="12" width="3.7109375" style="30" customWidth="1"/>
    <col min="13" max="16384" width="11.421875" style="30" customWidth="1"/>
  </cols>
  <sheetData>
    <row r="1" ht="15.75">
      <c r="A1" s="29" t="s">
        <v>179</v>
      </c>
    </row>
    <row r="2" ht="12.75">
      <c r="A2" s="50"/>
    </row>
    <row r="5" spans="1:11" ht="12.75">
      <c r="A5" s="32" t="s">
        <v>130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34"/>
      <c r="B7" s="35" t="s">
        <v>0</v>
      </c>
      <c r="C7" s="35" t="s">
        <v>1</v>
      </c>
      <c r="D7" s="35" t="s">
        <v>2</v>
      </c>
      <c r="E7" s="35" t="s">
        <v>3</v>
      </c>
      <c r="F7" s="35" t="s">
        <v>4</v>
      </c>
      <c r="G7" s="35" t="s">
        <v>5</v>
      </c>
      <c r="H7" s="35" t="s">
        <v>6</v>
      </c>
      <c r="I7" s="35" t="s">
        <v>7</v>
      </c>
      <c r="J7" s="35" t="s">
        <v>8</v>
      </c>
      <c r="K7" s="35" t="s">
        <v>9</v>
      </c>
    </row>
    <row r="8" spans="1:11" ht="12.75">
      <c r="A8" s="34" t="s">
        <v>131</v>
      </c>
      <c r="B8" s="26">
        <v>245.19358940302584</v>
      </c>
      <c r="C8" s="26">
        <v>581.4779653028146</v>
      </c>
      <c r="D8" s="26">
        <v>1549.2490997508985</v>
      </c>
      <c r="E8" s="26">
        <v>1463.8446557272396</v>
      </c>
      <c r="F8" s="26">
        <v>640.9822413284127</v>
      </c>
      <c r="G8" s="26">
        <v>1190.328814309077</v>
      </c>
      <c r="H8" s="26">
        <v>805.3890079015946</v>
      </c>
      <c r="I8" s="26">
        <v>434.2085568198071</v>
      </c>
      <c r="J8" s="26">
        <v>2405.6884499166495</v>
      </c>
      <c r="K8" s="27">
        <v>9316.362380459519</v>
      </c>
    </row>
    <row r="9" spans="1:11" ht="12.75">
      <c r="A9" s="34" t="s">
        <v>10</v>
      </c>
      <c r="B9" s="26">
        <v>0.594810559787118</v>
      </c>
      <c r="C9" s="26">
        <v>-1.601315440611681</v>
      </c>
      <c r="D9" s="26">
        <v>3.807218258597888</v>
      </c>
      <c r="E9" s="26">
        <v>3.819612707838882</v>
      </c>
      <c r="F9" s="26">
        <v>0.4509341442127479</v>
      </c>
      <c r="G9" s="26">
        <v>-1.4830069711753167</v>
      </c>
      <c r="H9" s="26">
        <v>1.1482359291507165</v>
      </c>
      <c r="I9" s="26">
        <v>0.42067908757698025</v>
      </c>
      <c r="J9" s="26">
        <v>-4.451812988238409</v>
      </c>
      <c r="K9" s="27">
        <v>2.705355287138927</v>
      </c>
    </row>
    <row r="10" spans="1:11" ht="12.75">
      <c r="A10" s="36" t="s">
        <v>121</v>
      </c>
      <c r="B10" s="27">
        <v>245.78839996281295</v>
      </c>
      <c r="C10" s="27">
        <v>579.876649862203</v>
      </c>
      <c r="D10" s="27">
        <v>1553.0563180094964</v>
      </c>
      <c r="E10" s="27">
        <v>1467.6642684350784</v>
      </c>
      <c r="F10" s="27">
        <v>641.4331754726254</v>
      </c>
      <c r="G10" s="27">
        <v>1188.8458073379015</v>
      </c>
      <c r="H10" s="27">
        <v>806.5372438307453</v>
      </c>
      <c r="I10" s="27">
        <v>434.62923590738404</v>
      </c>
      <c r="J10" s="27">
        <v>2401.236636928411</v>
      </c>
      <c r="K10" s="27">
        <v>9319.067735746657</v>
      </c>
    </row>
    <row r="11" spans="1:11" ht="12.75">
      <c r="A11" s="36" t="s">
        <v>122</v>
      </c>
      <c r="B11" s="27">
        <v>-6.3759999999999994</v>
      </c>
      <c r="C11" s="27">
        <v>-12.324499999999999</v>
      </c>
      <c r="D11" s="27">
        <v>-35.492000000000004</v>
      </c>
      <c r="E11" s="27">
        <v>-19.788580000000003</v>
      </c>
      <c r="F11" s="27">
        <v>-9.2675</v>
      </c>
      <c r="G11" s="27">
        <v>-27.473764999999997</v>
      </c>
      <c r="H11" s="27">
        <v>-10.549</v>
      </c>
      <c r="I11" s="27">
        <v>-5.8868</v>
      </c>
      <c r="J11" s="27">
        <v>0</v>
      </c>
      <c r="K11" s="27">
        <v>-127.15814499999999</v>
      </c>
    </row>
    <row r="12" spans="1:11" ht="12.75">
      <c r="A12" s="36" t="s">
        <v>123</v>
      </c>
      <c r="B12" s="27">
        <v>239.41239996281294</v>
      </c>
      <c r="C12" s="27">
        <v>567.552149862203</v>
      </c>
      <c r="D12" s="27">
        <v>1517.5643180094964</v>
      </c>
      <c r="E12" s="27">
        <v>1447.8756884350785</v>
      </c>
      <c r="F12" s="27">
        <v>632.1656754726254</v>
      </c>
      <c r="G12" s="27">
        <v>1161.3720423379016</v>
      </c>
      <c r="H12" s="27">
        <v>795.9882438307453</v>
      </c>
      <c r="I12" s="27">
        <v>428.74243590738405</v>
      </c>
      <c r="J12" s="27">
        <v>2401.236636928411</v>
      </c>
      <c r="K12" s="27">
        <v>9191.909590746658</v>
      </c>
    </row>
    <row r="13" spans="1:11" ht="12.75">
      <c r="A13" s="36" t="s">
        <v>12</v>
      </c>
      <c r="B13" s="26">
        <v>0</v>
      </c>
      <c r="C13" s="26">
        <v>0.8635729999999999</v>
      </c>
      <c r="D13" s="26">
        <v>0.665461</v>
      </c>
      <c r="E13" s="26">
        <v>0.919119</v>
      </c>
      <c r="F13" s="26">
        <v>1.054614</v>
      </c>
      <c r="G13" s="26">
        <v>0.380124</v>
      </c>
      <c r="H13" s="26">
        <v>2.108597</v>
      </c>
      <c r="I13" s="26">
        <v>2.8113249999999996</v>
      </c>
      <c r="J13" s="26">
        <v>1.7066590000000001</v>
      </c>
      <c r="K13" s="27">
        <v>10.509471999999999</v>
      </c>
    </row>
    <row r="14" spans="1:11" ht="12.75">
      <c r="A14" s="32" t="s">
        <v>11</v>
      </c>
      <c r="B14" s="27">
        <v>239.41239996281294</v>
      </c>
      <c r="C14" s="27">
        <v>568.415722862203</v>
      </c>
      <c r="D14" s="27">
        <v>1518.2297790094965</v>
      </c>
      <c r="E14" s="27">
        <v>1448.7948074350784</v>
      </c>
      <c r="F14" s="27">
        <v>633.2202894726254</v>
      </c>
      <c r="G14" s="27">
        <v>1161.7521663379016</v>
      </c>
      <c r="H14" s="27">
        <v>798.0968408307454</v>
      </c>
      <c r="I14" s="27">
        <v>431.55376090738406</v>
      </c>
      <c r="J14" s="27">
        <v>2402.943295928411</v>
      </c>
      <c r="K14" s="27">
        <v>9202.419062746658</v>
      </c>
    </row>
    <row r="15" spans="1:11" ht="12.75">
      <c r="A15" s="34"/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spans="1:11" ht="12.75">
      <c r="A16" s="32" t="s">
        <v>132</v>
      </c>
      <c r="B16" s="38"/>
      <c r="C16" s="38"/>
      <c r="D16" s="38"/>
      <c r="E16" s="38"/>
      <c r="F16" s="38"/>
      <c r="G16" s="38"/>
      <c r="H16" s="38"/>
      <c r="I16" s="38"/>
      <c r="J16" s="38"/>
      <c r="K16" s="39"/>
    </row>
    <row r="17" spans="1:11" ht="12.75">
      <c r="A17" s="32"/>
      <c r="B17" s="38"/>
      <c r="C17" s="38"/>
      <c r="D17" s="38"/>
      <c r="E17" s="38"/>
      <c r="F17" s="38"/>
      <c r="G17" s="38"/>
      <c r="H17" s="38"/>
      <c r="I17" s="38"/>
      <c r="J17" s="38"/>
      <c r="K17" s="39"/>
    </row>
    <row r="18" spans="1:11" ht="12.75">
      <c r="A18" s="34"/>
      <c r="B18" s="40" t="s">
        <v>0</v>
      </c>
      <c r="C18" s="40" t="s">
        <v>1</v>
      </c>
      <c r="D18" s="40" t="s">
        <v>2</v>
      </c>
      <c r="E18" s="40" t="s">
        <v>3</v>
      </c>
      <c r="F18" s="40" t="s">
        <v>4</v>
      </c>
      <c r="G18" s="40" t="s">
        <v>5</v>
      </c>
      <c r="H18" s="40" t="s">
        <v>6</v>
      </c>
      <c r="I18" s="40" t="s">
        <v>7</v>
      </c>
      <c r="J18" s="40" t="s">
        <v>8</v>
      </c>
      <c r="K18" s="40" t="s">
        <v>9</v>
      </c>
    </row>
    <row r="19" spans="1:11" ht="12.75">
      <c r="A19" s="34" t="s">
        <v>131</v>
      </c>
      <c r="B19" s="26">
        <v>502.2886989701113</v>
      </c>
      <c r="C19" s="26">
        <v>1009.921717012509</v>
      </c>
      <c r="D19" s="26">
        <v>2836.8665512620014</v>
      </c>
      <c r="E19" s="26">
        <v>2473.591123014384</v>
      </c>
      <c r="F19" s="26">
        <v>983.8583596371936</v>
      </c>
      <c r="G19" s="26">
        <v>2132.763049300459</v>
      </c>
      <c r="H19" s="26">
        <v>1290.3495710154207</v>
      </c>
      <c r="I19" s="26">
        <v>689.0585681379409</v>
      </c>
      <c r="J19" s="26">
        <v>3212.692326099617</v>
      </c>
      <c r="K19" s="27">
        <v>15131.389964449638</v>
      </c>
    </row>
    <row r="20" spans="1:11" ht="12.75">
      <c r="A20" s="34" t="s">
        <v>10</v>
      </c>
      <c r="B20" s="26">
        <v>3.352654199350567</v>
      </c>
      <c r="C20" s="26">
        <v>6.113376474881894</v>
      </c>
      <c r="D20" s="26">
        <v>18.246381360141093</v>
      </c>
      <c r="E20" s="26">
        <v>16.110220727607608</v>
      </c>
      <c r="F20" s="26">
        <v>5.649901581341401</v>
      </c>
      <c r="G20" s="26">
        <v>12.586497475740732</v>
      </c>
      <c r="H20" s="26">
        <v>7.268518420733977</v>
      </c>
      <c r="I20" s="26">
        <v>4.226692185114953</v>
      </c>
      <c r="J20" s="26">
        <v>15.30300127560459</v>
      </c>
      <c r="K20" s="27">
        <v>88.85724370051683</v>
      </c>
    </row>
    <row r="21" spans="1:11" ht="12.75">
      <c r="A21" s="36" t="s">
        <v>121</v>
      </c>
      <c r="B21" s="27">
        <v>505.64135316946187</v>
      </c>
      <c r="C21" s="27">
        <v>1016.0350934873909</v>
      </c>
      <c r="D21" s="27">
        <v>2855.1129326221426</v>
      </c>
      <c r="E21" s="27">
        <v>2489.7013437419914</v>
      </c>
      <c r="F21" s="27">
        <v>989.508261218535</v>
      </c>
      <c r="G21" s="27">
        <v>2145.3495467761995</v>
      </c>
      <c r="H21" s="27">
        <v>1297.6180894361546</v>
      </c>
      <c r="I21" s="27">
        <v>693.2852603230559</v>
      </c>
      <c r="J21" s="27">
        <v>3227.995327375221</v>
      </c>
      <c r="K21" s="27">
        <v>15220.247208150155</v>
      </c>
    </row>
    <row r="22" spans="1:11" ht="12.75">
      <c r="A22" s="36" t="s">
        <v>122</v>
      </c>
      <c r="B22" s="27">
        <v>-6.3759999999999994</v>
      </c>
      <c r="C22" s="27">
        <v>-12.324499999999999</v>
      </c>
      <c r="D22" s="27">
        <v>-37.304</v>
      </c>
      <c r="E22" s="27">
        <v>-37.457420000000006</v>
      </c>
      <c r="F22" s="27">
        <v>-9.2675</v>
      </c>
      <c r="G22" s="27">
        <v>-38.818234999999994</v>
      </c>
      <c r="H22" s="27">
        <v>-19.591</v>
      </c>
      <c r="I22" s="27">
        <v>-8.830200000000003</v>
      </c>
      <c r="J22" s="27">
        <v>-74.687</v>
      </c>
      <c r="K22" s="27">
        <v>-244.65585499999997</v>
      </c>
    </row>
    <row r="23" spans="1:11" ht="12.75">
      <c r="A23" s="36" t="s">
        <v>123</v>
      </c>
      <c r="B23" s="27">
        <v>499.2653531694619</v>
      </c>
      <c r="C23" s="27">
        <v>1003.710593487391</v>
      </c>
      <c r="D23" s="27">
        <v>2817.8089326221425</v>
      </c>
      <c r="E23" s="27">
        <v>2452.2439237419912</v>
      </c>
      <c r="F23" s="27">
        <v>980.240761218535</v>
      </c>
      <c r="G23" s="27">
        <v>2106.5313117761993</v>
      </c>
      <c r="H23" s="27">
        <v>1278.0270894361547</v>
      </c>
      <c r="I23" s="27">
        <v>684.4550603230559</v>
      </c>
      <c r="J23" s="27">
        <v>3153.3083273752213</v>
      </c>
      <c r="K23" s="27">
        <v>14975.591353150154</v>
      </c>
    </row>
    <row r="24" spans="1:11" ht="12.75">
      <c r="A24" s="36" t="s">
        <v>12</v>
      </c>
      <c r="B24" s="26">
        <v>0</v>
      </c>
      <c r="C24" s="26">
        <v>0.623985</v>
      </c>
      <c r="D24" s="26">
        <v>0.41544600000000004</v>
      </c>
      <c r="E24" s="26">
        <v>0.682454</v>
      </c>
      <c r="F24" s="26">
        <v>0.748738</v>
      </c>
      <c r="G24" s="26">
        <v>0.115091</v>
      </c>
      <c r="H24" s="26">
        <v>1.364457</v>
      </c>
      <c r="I24" s="26">
        <v>2.4408670000000003</v>
      </c>
      <c r="J24" s="26">
        <v>1.511443</v>
      </c>
      <c r="K24" s="27">
        <v>7.902481</v>
      </c>
    </row>
    <row r="25" spans="1:11" ht="12.75">
      <c r="A25" s="32" t="s">
        <v>11</v>
      </c>
      <c r="B25" s="27">
        <v>499.2653531694619</v>
      </c>
      <c r="C25" s="27">
        <v>1004.3345784873909</v>
      </c>
      <c r="D25" s="27">
        <v>2818.2243786221425</v>
      </c>
      <c r="E25" s="27">
        <v>2452.926377741991</v>
      </c>
      <c r="F25" s="27">
        <v>980.989499218535</v>
      </c>
      <c r="G25" s="27">
        <v>2106.6464027761995</v>
      </c>
      <c r="H25" s="27">
        <v>1279.3915464361546</v>
      </c>
      <c r="I25" s="27">
        <v>686.895927323056</v>
      </c>
      <c r="J25" s="27">
        <v>3154.819770375221</v>
      </c>
      <c r="K25" s="27">
        <v>14983.493834150153</v>
      </c>
    </row>
    <row r="26" spans="1:11" ht="12.75">
      <c r="A26" s="32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2.75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32" t="s">
        <v>148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12.75">
      <c r="A29" s="34"/>
      <c r="B29" s="99" t="s">
        <v>0</v>
      </c>
      <c r="C29" s="99" t="s">
        <v>1</v>
      </c>
      <c r="D29" s="99" t="s">
        <v>2</v>
      </c>
      <c r="E29" s="99" t="s">
        <v>3</v>
      </c>
      <c r="F29" s="99" t="s">
        <v>4</v>
      </c>
      <c r="G29" s="99" t="s">
        <v>5</v>
      </c>
      <c r="H29" s="99" t="s">
        <v>6</v>
      </c>
      <c r="I29" s="99" t="s">
        <v>7</v>
      </c>
      <c r="J29" s="99" t="s">
        <v>8</v>
      </c>
      <c r="K29" s="99" t="s">
        <v>9</v>
      </c>
    </row>
    <row r="30" spans="1:12" ht="12.75">
      <c r="A30" s="34" t="s">
        <v>146</v>
      </c>
      <c r="B30" s="26">
        <v>16.1721598984324</v>
      </c>
      <c r="C30" s="26">
        <v>40.352616854363596</v>
      </c>
      <c r="D30" s="26">
        <v>94.3897281334828</v>
      </c>
      <c r="E30" s="26">
        <v>92.8459595430308</v>
      </c>
      <c r="F30" s="26">
        <v>39.142455525586406</v>
      </c>
      <c r="G30" s="26">
        <v>82.3956265965834</v>
      </c>
      <c r="H30" s="26">
        <v>65.18286135477861</v>
      </c>
      <c r="I30" s="26">
        <v>22.5005254820468</v>
      </c>
      <c r="J30" s="26">
        <v>157.6862978416952</v>
      </c>
      <c r="K30" s="26">
        <v>610.66823123</v>
      </c>
      <c r="L30" s="45"/>
    </row>
    <row r="31" spans="1:12" ht="12.75">
      <c r="A31" s="34" t="s">
        <v>149</v>
      </c>
      <c r="B31" s="26">
        <v>3.875415</v>
      </c>
      <c r="C31" s="26">
        <v>10.392192</v>
      </c>
      <c r="D31" s="26">
        <v>21.774333</v>
      </c>
      <c r="E31" s="26">
        <v>20.630696</v>
      </c>
      <c r="F31" s="26">
        <v>9.687024</v>
      </c>
      <c r="G31" s="26">
        <v>19.413224999999997</v>
      </c>
      <c r="H31" s="26">
        <v>12.027037</v>
      </c>
      <c r="I31" s="26">
        <v>5.600664</v>
      </c>
      <c r="J31" s="26">
        <v>47.276417</v>
      </c>
      <c r="K31" s="26">
        <v>150.67700299999998</v>
      </c>
      <c r="L31" s="45"/>
    </row>
    <row r="32" spans="1:12" ht="12.75">
      <c r="A32" s="34" t="s">
        <v>150</v>
      </c>
      <c r="B32" s="26">
        <v>5.7286090000000005</v>
      </c>
      <c r="C32" s="26">
        <v>15.36167</v>
      </c>
      <c r="D32" s="26">
        <v>32.18667</v>
      </c>
      <c r="E32" s="26">
        <v>30.496152</v>
      </c>
      <c r="F32" s="26">
        <v>14.319291999999999</v>
      </c>
      <c r="G32" s="26">
        <v>28.696496</v>
      </c>
      <c r="H32" s="26">
        <v>17.778285</v>
      </c>
      <c r="I32" s="26">
        <v>8.278863</v>
      </c>
      <c r="J32" s="26">
        <v>69.88367600000001</v>
      </c>
      <c r="K32" s="26">
        <v>222.729713</v>
      </c>
      <c r="L32" s="45"/>
    </row>
    <row r="33" spans="1:12" ht="12.75">
      <c r="A33" s="34" t="s">
        <v>201</v>
      </c>
      <c r="B33" s="26">
        <v>0.17126258</v>
      </c>
      <c r="C33" s="26">
        <v>0.7803838900000001</v>
      </c>
      <c r="D33" s="26">
        <v>1.0321765500000002</v>
      </c>
      <c r="E33" s="26">
        <v>2.5286970699999998</v>
      </c>
      <c r="F33" s="26">
        <v>3.87689577</v>
      </c>
      <c r="G33" s="26">
        <v>3.70076812</v>
      </c>
      <c r="H33" s="26">
        <v>2.59368975</v>
      </c>
      <c r="I33" s="26">
        <v>3.17366372</v>
      </c>
      <c r="J33" s="26">
        <v>22.30215393</v>
      </c>
      <c r="K33" s="26">
        <v>40.15969138</v>
      </c>
      <c r="L33" s="45"/>
    </row>
    <row r="34" spans="1:12" ht="12.75">
      <c r="A34" s="34" t="s">
        <v>152</v>
      </c>
      <c r="B34" s="26"/>
      <c r="C34" s="26"/>
      <c r="D34" s="26"/>
      <c r="E34" s="26"/>
      <c r="F34" s="26"/>
      <c r="G34" s="26"/>
      <c r="H34" s="26"/>
      <c r="I34" s="26"/>
      <c r="J34" s="26"/>
      <c r="K34" s="101">
        <v>1.23678937465799</v>
      </c>
      <c r="L34" s="45"/>
    </row>
    <row r="35" spans="1:12" ht="12.75">
      <c r="A35" s="34" t="s">
        <v>153</v>
      </c>
      <c r="B35" s="26">
        <v>0</v>
      </c>
      <c r="C35" s="26">
        <v>0</v>
      </c>
      <c r="D35" s="26">
        <v>0</v>
      </c>
      <c r="E35" s="26">
        <v>3.2256513722292763</v>
      </c>
      <c r="F35" s="26">
        <v>2.9468913770983507</v>
      </c>
      <c r="G35" s="26">
        <v>4.4203370656475265</v>
      </c>
      <c r="H35" s="26">
        <v>3.464588510912926</v>
      </c>
      <c r="I35" s="26">
        <v>0</v>
      </c>
      <c r="J35" s="26">
        <v>25.765388121386934</v>
      </c>
      <c r="K35" s="26">
        <v>39.822856447275015</v>
      </c>
      <c r="L35" s="45"/>
    </row>
    <row r="36" spans="1:12" ht="12.75">
      <c r="A36" s="34" t="s">
        <v>202</v>
      </c>
      <c r="B36" s="26">
        <v>4.9452937169009905</v>
      </c>
      <c r="C36" s="26">
        <v>7.475944156368695</v>
      </c>
      <c r="D36" s="26">
        <v>21.77821921261019</v>
      </c>
      <c r="E36" s="26">
        <v>19.07944817307533</v>
      </c>
      <c r="F36" s="26">
        <v>7.157362865243685</v>
      </c>
      <c r="G36" s="26">
        <v>16.293818218175083</v>
      </c>
      <c r="H36" s="26">
        <v>9.615147474423448</v>
      </c>
      <c r="I36" s="26">
        <v>5.009245079559325</v>
      </c>
      <c r="J36" s="26">
        <v>21.39452110364326</v>
      </c>
      <c r="K36" s="26">
        <v>112.749</v>
      </c>
      <c r="L36" s="45"/>
    </row>
    <row r="37" spans="1:12" ht="12.75">
      <c r="A37" s="34" t="s">
        <v>203</v>
      </c>
      <c r="B37" s="26">
        <v>0.1717028401753743</v>
      </c>
      <c r="C37" s="26">
        <v>2.2062700138017663</v>
      </c>
      <c r="D37" s="26">
        <v>2.3040308781584167</v>
      </c>
      <c r="E37" s="26">
        <v>3.3222859898946413</v>
      </c>
      <c r="F37" s="26">
        <v>1.9803406400936547</v>
      </c>
      <c r="G37" s="26">
        <v>4.238893900158765</v>
      </c>
      <c r="H37" s="26">
        <v>1.611872793968696</v>
      </c>
      <c r="I37" s="26">
        <v>0.16460294374868617</v>
      </c>
      <c r="J37" s="26">
        <v>0</v>
      </c>
      <c r="K37" s="26">
        <v>16.000000000000004</v>
      </c>
      <c r="L37" s="45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45"/>
    </row>
    <row r="39" spans="1:12" ht="12.75">
      <c r="A39" s="34" t="s">
        <v>147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45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45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45"/>
    </row>
    <row r="42" spans="1:11" ht="12.75">
      <c r="A42" s="33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ht="12.75">
      <c r="A44" s="51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2.75">
      <c r="A45" s="41" t="s">
        <v>15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12.75">
      <c r="A47" s="41" t="s">
        <v>16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ht="12.75">
      <c r="A48" s="34" t="s">
        <v>14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ht="12.75">
      <c r="A49" s="34"/>
      <c r="B49" s="35" t="s">
        <v>0</v>
      </c>
      <c r="C49" s="35" t="s">
        <v>1</v>
      </c>
      <c r="D49" s="35" t="s">
        <v>2</v>
      </c>
      <c r="E49" s="35" t="s">
        <v>3</v>
      </c>
      <c r="F49" s="35" t="s">
        <v>4</v>
      </c>
      <c r="G49" s="35" t="s">
        <v>5</v>
      </c>
      <c r="H49" s="35" t="s">
        <v>6</v>
      </c>
      <c r="I49" s="35" t="s">
        <v>7</v>
      </c>
      <c r="J49" s="35" t="s">
        <v>8</v>
      </c>
      <c r="K49" s="35" t="s">
        <v>9</v>
      </c>
    </row>
    <row r="50" spans="1:11" ht="12.75">
      <c r="A50" s="34" t="s">
        <v>133</v>
      </c>
      <c r="B50" s="42">
        <v>11.079528656448462</v>
      </c>
      <c r="C50" s="42">
        <v>37.57751515576294</v>
      </c>
      <c r="D50" s="42">
        <v>67.1627315960758</v>
      </c>
      <c r="E50" s="42">
        <v>64.51779820822904</v>
      </c>
      <c r="F50" s="42">
        <v>41.690873100073134</v>
      </c>
      <c r="G50" s="42">
        <v>57.87892694542298</v>
      </c>
      <c r="H50" s="42">
        <v>64.1860757933653</v>
      </c>
      <c r="I50" s="42">
        <v>21.278887172125167</v>
      </c>
      <c r="J50" s="42">
        <v>76.92421652413238</v>
      </c>
      <c r="K50" s="37">
        <v>442.2965531516352</v>
      </c>
    </row>
    <row r="51" spans="1:11" ht="12.75">
      <c r="A51" s="34" t="s">
        <v>10</v>
      </c>
      <c r="B51" s="42">
        <v>0.020437704802365262</v>
      </c>
      <c r="C51" s="42">
        <v>0.06931686227580212</v>
      </c>
      <c r="D51" s="42">
        <v>0.12389083729495177</v>
      </c>
      <c r="E51" s="42">
        <v>0.11901189618845091</v>
      </c>
      <c r="F51" s="42">
        <v>0.07690451316050895</v>
      </c>
      <c r="G51" s="42">
        <v>0.10676559083582106</v>
      </c>
      <c r="H51" s="42">
        <v>0.1183999888590406</v>
      </c>
      <c r="I51" s="42">
        <v>0.03925181549068293</v>
      </c>
      <c r="J51" s="42">
        <v>0.1418972303084447</v>
      </c>
      <c r="K51" s="37">
        <v>0.8158764392160682</v>
      </c>
    </row>
    <row r="52" spans="1:11" ht="12.75">
      <c r="A52" s="43" t="s">
        <v>11</v>
      </c>
      <c r="B52" s="37">
        <v>11.099966361250827</v>
      </c>
      <c r="C52" s="37">
        <v>37.646832018038744</v>
      </c>
      <c r="D52" s="37">
        <v>67.28662243337075</v>
      </c>
      <c r="E52" s="37">
        <v>64.63681010441749</v>
      </c>
      <c r="F52" s="37">
        <v>41.76777761323364</v>
      </c>
      <c r="G52" s="37">
        <v>57.9856925362588</v>
      </c>
      <c r="H52" s="37">
        <v>64.30447578222434</v>
      </c>
      <c r="I52" s="37">
        <v>21.31813898761585</v>
      </c>
      <c r="J52" s="37">
        <v>77.06611375444082</v>
      </c>
      <c r="K52" s="37">
        <v>443.1124295908513</v>
      </c>
    </row>
    <row r="53" spans="1:11" ht="12.75">
      <c r="A53" s="33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2.75">
      <c r="A54" s="41" t="s">
        <v>17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2.75">
      <c r="A55" s="34" t="s">
        <v>14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2.75">
      <c r="A56" s="34"/>
      <c r="B56" s="40" t="s">
        <v>0</v>
      </c>
      <c r="C56" s="40" t="s">
        <v>1</v>
      </c>
      <c r="D56" s="40" t="s">
        <v>2</v>
      </c>
      <c r="E56" s="40" t="s">
        <v>3</v>
      </c>
      <c r="F56" s="40" t="s">
        <v>4</v>
      </c>
      <c r="G56" s="40" t="s">
        <v>5</v>
      </c>
      <c r="H56" s="40" t="s">
        <v>6</v>
      </c>
      <c r="I56" s="40" t="s">
        <v>7</v>
      </c>
      <c r="J56" s="40" t="s">
        <v>8</v>
      </c>
      <c r="K56" s="40" t="s">
        <v>9</v>
      </c>
    </row>
    <row r="57" spans="1:11" ht="12.75">
      <c r="A57" s="34" t="s">
        <v>133</v>
      </c>
      <c r="B57" s="42">
        <v>0.06614205784391586</v>
      </c>
      <c r="C57" s="42">
        <v>0.5711759062961885</v>
      </c>
      <c r="D57" s="42">
        <v>8.111370500502597</v>
      </c>
      <c r="E57" s="42">
        <v>4.062691824175443</v>
      </c>
      <c r="F57" s="42">
        <v>2.7673164370797685</v>
      </c>
      <c r="G57" s="42">
        <v>1.3901042665500958</v>
      </c>
      <c r="H57" s="42">
        <v>0.6036864093042151</v>
      </c>
      <c r="I57" s="42">
        <v>0.4467391534033978</v>
      </c>
      <c r="J57" s="42">
        <v>38.03336483799342</v>
      </c>
      <c r="K57" s="42">
        <v>56.05259139314904</v>
      </c>
    </row>
    <row r="58" spans="1:11" ht="12.75">
      <c r="A58" s="34" t="s">
        <v>10</v>
      </c>
      <c r="B58" s="42">
        <v>0.0001955524439570695</v>
      </c>
      <c r="C58" s="42">
        <v>0.001688711359256331</v>
      </c>
      <c r="D58" s="42">
        <v>0.023981689970361913</v>
      </c>
      <c r="E58" s="42">
        <v>0.012011560286447093</v>
      </c>
      <c r="F58" s="42">
        <v>0.008181715388271187</v>
      </c>
      <c r="G58" s="42">
        <v>0.004109915771300848</v>
      </c>
      <c r="H58" s="42">
        <v>0.0017848303571333872</v>
      </c>
      <c r="I58" s="42">
        <v>0.0013208076087608447</v>
      </c>
      <c r="J58" s="42">
        <v>0.11244762694762175</v>
      </c>
      <c r="K58" s="42">
        <v>0.16572241013311043</v>
      </c>
    </row>
    <row r="59" spans="1:11" ht="12.75">
      <c r="A59" s="43" t="s">
        <v>11</v>
      </c>
      <c r="B59" s="37">
        <v>0.06633761028787293</v>
      </c>
      <c r="C59" s="37">
        <v>0.5728646176554448</v>
      </c>
      <c r="D59" s="37">
        <v>8.13535219047296</v>
      </c>
      <c r="E59" s="37">
        <v>4.074703384461889</v>
      </c>
      <c r="F59" s="37">
        <v>2.7754981524680398</v>
      </c>
      <c r="G59" s="37">
        <v>1.3942141823213967</v>
      </c>
      <c r="H59" s="37">
        <v>0.6054712396613485</v>
      </c>
      <c r="I59" s="37">
        <v>0.44805996101215867</v>
      </c>
      <c r="J59" s="37">
        <v>38.14581246494104</v>
      </c>
      <c r="K59" s="37">
        <v>56.21831380328214</v>
      </c>
    </row>
    <row r="60" spans="1:11" ht="12.75">
      <c r="A60" s="33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12.75">
      <c r="A61" s="41" t="s">
        <v>18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12.75">
      <c r="A62" s="34" t="s">
        <v>14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2.75">
      <c r="A63" s="34"/>
      <c r="B63" s="40" t="s">
        <v>0</v>
      </c>
      <c r="C63" s="40" t="s">
        <v>1</v>
      </c>
      <c r="D63" s="40" t="s">
        <v>2</v>
      </c>
      <c r="E63" s="40" t="s">
        <v>3</v>
      </c>
      <c r="F63" s="40" t="s">
        <v>4</v>
      </c>
      <c r="G63" s="40" t="s">
        <v>5</v>
      </c>
      <c r="H63" s="40" t="s">
        <v>6</v>
      </c>
      <c r="I63" s="40" t="s">
        <v>7</v>
      </c>
      <c r="J63" s="40" t="s">
        <v>8</v>
      </c>
      <c r="K63" s="40" t="s">
        <v>9</v>
      </c>
    </row>
    <row r="64" spans="1:11" ht="12.75">
      <c r="A64" s="34" t="s">
        <v>133</v>
      </c>
      <c r="B64" s="42">
        <v>1.2674243624335142</v>
      </c>
      <c r="C64" s="42">
        <v>2.457920994623023</v>
      </c>
      <c r="D64" s="42">
        <v>7.160184868766848</v>
      </c>
      <c r="E64" s="42">
        <v>6.272890119233116</v>
      </c>
      <c r="F64" s="42">
        <v>2.3531786868192395</v>
      </c>
      <c r="G64" s="42">
        <v>5.357038127004507</v>
      </c>
      <c r="H64" s="42">
        <v>3.161242560064998</v>
      </c>
      <c r="I64" s="42">
        <v>1.6469262464691055</v>
      </c>
      <c r="J64" s="42">
        <v>7.69158829668501</v>
      </c>
      <c r="K64" s="42">
        <v>37.368394262099365</v>
      </c>
    </row>
    <row r="65" spans="1:11" ht="12.75">
      <c r="A65" s="34" t="s">
        <v>10</v>
      </c>
      <c r="B65" s="42">
        <v>0.005506154537083375</v>
      </c>
      <c r="C65" s="42">
        <v>0.008415821776562098</v>
      </c>
      <c r="D65" s="42">
        <v>0.028877264910500345</v>
      </c>
      <c r="E65" s="42">
        <v>0.025474775881843017</v>
      </c>
      <c r="F65" s="42">
        <v>0.00034089081947195156</v>
      </c>
      <c r="G65" s="42">
        <v>0.016661312330309555</v>
      </c>
      <c r="H65" s="42">
        <v>0.008376144476940225</v>
      </c>
      <c r="I65" s="42">
        <v>0.006288817218656049</v>
      </c>
      <c r="J65" s="42">
        <v>0.010540424804038594</v>
      </c>
      <c r="K65" s="42">
        <v>0.1104816067554052</v>
      </c>
    </row>
    <row r="66" spans="1:11" ht="12.75">
      <c r="A66" s="43" t="s">
        <v>11</v>
      </c>
      <c r="B66" s="37">
        <v>1.2729305169705976</v>
      </c>
      <c r="C66" s="37">
        <v>2.4663368163995854</v>
      </c>
      <c r="D66" s="37">
        <v>7.189062133677348</v>
      </c>
      <c r="E66" s="37">
        <v>6.298364895114959</v>
      </c>
      <c r="F66" s="37">
        <v>2.3535195776387114</v>
      </c>
      <c r="G66" s="37">
        <v>5.373699439334816</v>
      </c>
      <c r="H66" s="37">
        <v>3.1696187045419384</v>
      </c>
      <c r="I66" s="37">
        <v>1.6532150636877616</v>
      </c>
      <c r="J66" s="37">
        <v>7.702128721489049</v>
      </c>
      <c r="K66" s="37">
        <v>37.478875868854765</v>
      </c>
    </row>
    <row r="68" spans="1:11" ht="12.75">
      <c r="A68" s="41" t="s">
        <v>118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 t="s">
        <v>14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33" t="s">
        <v>62</v>
      </c>
      <c r="B70" s="33"/>
      <c r="C70" s="33"/>
      <c r="D70" s="54">
        <v>0.05306066244886365</v>
      </c>
      <c r="E70" s="33"/>
      <c r="F70" s="33"/>
      <c r="G70" s="33"/>
      <c r="H70" s="33"/>
      <c r="I70" s="33"/>
      <c r="J70" s="33"/>
      <c r="K70" s="33"/>
    </row>
    <row r="71" spans="1:11" ht="12.75">
      <c r="A71" s="33"/>
      <c r="B71" s="40" t="s">
        <v>0</v>
      </c>
      <c r="C71" s="40" t="s">
        <v>1</v>
      </c>
      <c r="D71" s="40" t="s">
        <v>2</v>
      </c>
      <c r="E71" s="40" t="s">
        <v>3</v>
      </c>
      <c r="F71" s="40" t="s">
        <v>4</v>
      </c>
      <c r="G71" s="40" t="s">
        <v>5</v>
      </c>
      <c r="H71" s="40" t="s">
        <v>6</v>
      </c>
      <c r="I71" s="40" t="s">
        <v>7</v>
      </c>
      <c r="J71" s="40" t="s">
        <v>8</v>
      </c>
      <c r="K71" s="40" t="s">
        <v>9</v>
      </c>
    </row>
    <row r="72" spans="1:11" s="45" customFormat="1" ht="12.75">
      <c r="A72" s="51" t="s">
        <v>63</v>
      </c>
      <c r="B72" s="42">
        <v>4.03309403</v>
      </c>
      <c r="C72" s="42">
        <v>14.72298269</v>
      </c>
      <c r="D72" s="42">
        <v>34.19119076</v>
      </c>
      <c r="E72" s="42">
        <v>32.25626038</v>
      </c>
      <c r="F72" s="42">
        <v>13.82747664</v>
      </c>
      <c r="G72" s="42">
        <v>27.49353574</v>
      </c>
      <c r="H72" s="42">
        <v>15.658616839999999</v>
      </c>
      <c r="I72" s="42">
        <v>11.00165511</v>
      </c>
      <c r="J72" s="42">
        <v>0</v>
      </c>
      <c r="K72" s="42">
        <v>153.18481219</v>
      </c>
    </row>
    <row r="73" spans="1:11" ht="12.75">
      <c r="A73" s="51" t="s">
        <v>79</v>
      </c>
      <c r="B73" s="42">
        <v>0.62504002</v>
      </c>
      <c r="C73" s="42">
        <v>8.359540489999999</v>
      </c>
      <c r="D73" s="42">
        <v>15.33890774</v>
      </c>
      <c r="E73" s="42">
        <v>18.046062159999998</v>
      </c>
      <c r="F73" s="42">
        <v>8.9018055</v>
      </c>
      <c r="G73" s="42">
        <v>14.227836199999999</v>
      </c>
      <c r="H73" s="42">
        <v>9.04368043</v>
      </c>
      <c r="I73" s="42">
        <v>6.42314687</v>
      </c>
      <c r="J73" s="42">
        <v>0</v>
      </c>
      <c r="K73" s="42">
        <v>80.96601940999999</v>
      </c>
    </row>
  </sheetData>
  <sheetProtection/>
  <printOptions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00390625" style="30" customWidth="1"/>
    <col min="2" max="10" width="8.57421875" style="30" customWidth="1"/>
    <col min="11" max="11" width="9.140625" style="30" bestFit="1" customWidth="1"/>
    <col min="12" max="16384" width="11.421875" style="30" customWidth="1"/>
  </cols>
  <sheetData>
    <row r="1" ht="15.75">
      <c r="A1" s="29" t="s">
        <v>190</v>
      </c>
    </row>
    <row r="2" ht="12.75">
      <c r="A2" s="50"/>
    </row>
    <row r="5" spans="1:11" ht="12.75">
      <c r="A5" s="32" t="s">
        <v>134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34"/>
      <c r="B7" s="35" t="s">
        <v>0</v>
      </c>
      <c r="C7" s="35" t="s">
        <v>1</v>
      </c>
      <c r="D7" s="35" t="s">
        <v>2</v>
      </c>
      <c r="E7" s="35" t="s">
        <v>3</v>
      </c>
      <c r="F7" s="35" t="s">
        <v>4</v>
      </c>
      <c r="G7" s="35" t="s">
        <v>5</v>
      </c>
      <c r="H7" s="35" t="s">
        <v>6</v>
      </c>
      <c r="I7" s="35" t="s">
        <v>7</v>
      </c>
      <c r="J7" s="35" t="s">
        <v>8</v>
      </c>
      <c r="K7" s="35" t="s">
        <v>9</v>
      </c>
    </row>
    <row r="8" spans="1:11" ht="12.75">
      <c r="A8" s="34" t="s">
        <v>135</v>
      </c>
      <c r="B8" s="26">
        <v>252.8861495551277</v>
      </c>
      <c r="C8" s="26">
        <v>600.9141810268559</v>
      </c>
      <c r="D8" s="26">
        <v>1616.5369507417934</v>
      </c>
      <c r="E8" s="26">
        <v>1526.9643889297504</v>
      </c>
      <c r="F8" s="26">
        <v>668.8541603517067</v>
      </c>
      <c r="G8" s="26">
        <v>1233.7406757488388</v>
      </c>
      <c r="H8" s="26">
        <v>850.0977492877914</v>
      </c>
      <c r="I8" s="26">
        <v>456.52998012983807</v>
      </c>
      <c r="J8" s="26">
        <v>2524.643687935364</v>
      </c>
      <c r="K8" s="27">
        <v>9731.167923707068</v>
      </c>
    </row>
    <row r="9" spans="1:11" ht="12.75">
      <c r="A9" s="34" t="s">
        <v>10</v>
      </c>
      <c r="B9" s="26">
        <v>-0.6982719122371928</v>
      </c>
      <c r="C9" s="26">
        <v>-1.7157025193842128</v>
      </c>
      <c r="D9" s="26">
        <v>-3.890576439992059</v>
      </c>
      <c r="E9" s="26">
        <v>-3.7382793983770535</v>
      </c>
      <c r="F9" s="26">
        <v>-2.6397978239975637</v>
      </c>
      <c r="G9" s="26">
        <v>-2.4495056282272563</v>
      </c>
      <c r="H9" s="26">
        <v>-1.9700536641009385</v>
      </c>
      <c r="I9" s="26">
        <v>1.8100948489282747</v>
      </c>
      <c r="J9" s="26">
        <v>-12.13255913801724</v>
      </c>
      <c r="K9" s="27">
        <v>-27.42465167540524</v>
      </c>
    </row>
    <row r="10" spans="1:11" ht="12.75">
      <c r="A10" s="36" t="s">
        <v>121</v>
      </c>
      <c r="B10" s="27">
        <v>252.1878776428905</v>
      </c>
      <c r="C10" s="27">
        <v>599.1984785074717</v>
      </c>
      <c r="D10" s="27">
        <v>1612.6463743018014</v>
      </c>
      <c r="E10" s="27">
        <v>1523.2261095313734</v>
      </c>
      <c r="F10" s="27">
        <v>666.2143625277091</v>
      </c>
      <c r="G10" s="27">
        <v>1231.2911701206117</v>
      </c>
      <c r="H10" s="27">
        <v>848.1276956236904</v>
      </c>
      <c r="I10" s="27">
        <v>458.3400749787663</v>
      </c>
      <c r="J10" s="27">
        <v>2512.511128797347</v>
      </c>
      <c r="K10" s="27">
        <v>9703.743272031663</v>
      </c>
    </row>
    <row r="11" spans="1:11" ht="12.75">
      <c r="A11" s="36" t="s">
        <v>122</v>
      </c>
      <c r="B11" s="27">
        <v>-6.3759999999999994</v>
      </c>
      <c r="C11" s="27">
        <v>-12.324499999999999</v>
      </c>
      <c r="D11" s="27">
        <v>-35.492000000000004</v>
      </c>
      <c r="E11" s="27">
        <v>-19.788580000000003</v>
      </c>
      <c r="F11" s="27">
        <v>-9.2675</v>
      </c>
      <c r="G11" s="27">
        <v>-27.473764999999997</v>
      </c>
      <c r="H11" s="27">
        <v>-10.549</v>
      </c>
      <c r="I11" s="27">
        <v>-5.8868</v>
      </c>
      <c r="J11" s="27">
        <v>0</v>
      </c>
      <c r="K11" s="27">
        <v>-127.15814499999999</v>
      </c>
    </row>
    <row r="12" spans="1:11" ht="12.75">
      <c r="A12" s="36" t="s">
        <v>123</v>
      </c>
      <c r="B12" s="27">
        <v>245.8118776428905</v>
      </c>
      <c r="C12" s="27">
        <v>586.8739785074717</v>
      </c>
      <c r="D12" s="27">
        <v>1577.1543743018015</v>
      </c>
      <c r="E12" s="27">
        <v>1503.4375295313735</v>
      </c>
      <c r="F12" s="27">
        <v>656.9468625277091</v>
      </c>
      <c r="G12" s="27">
        <v>1203.8174051206117</v>
      </c>
      <c r="H12" s="27">
        <v>837.5786956236905</v>
      </c>
      <c r="I12" s="27">
        <v>452.45327497876633</v>
      </c>
      <c r="J12" s="27">
        <v>2512.511128797347</v>
      </c>
      <c r="K12" s="27">
        <v>9576.585127031663</v>
      </c>
    </row>
    <row r="13" spans="1:11" ht="12.75">
      <c r="A13" s="36" t="s">
        <v>12</v>
      </c>
      <c r="B13" s="26">
        <v>0</v>
      </c>
      <c r="C13" s="26">
        <v>0.9279890000000001</v>
      </c>
      <c r="D13" s="26">
        <v>0.934724</v>
      </c>
      <c r="E13" s="26">
        <v>0.7769429999999999</v>
      </c>
      <c r="F13" s="26">
        <v>0.9787100000000001</v>
      </c>
      <c r="G13" s="26">
        <v>0.327096</v>
      </c>
      <c r="H13" s="26">
        <v>2.174668</v>
      </c>
      <c r="I13" s="26">
        <v>3.0223809999999998</v>
      </c>
      <c r="J13" s="26">
        <v>2.7774940000000004</v>
      </c>
      <c r="K13" s="27">
        <v>11.920005</v>
      </c>
    </row>
    <row r="14" spans="1:11" ht="12.75">
      <c r="A14" s="32" t="s">
        <v>11</v>
      </c>
      <c r="B14" s="27">
        <v>245.8118776428905</v>
      </c>
      <c r="C14" s="27">
        <v>587.8019675074718</v>
      </c>
      <c r="D14" s="27">
        <v>1578.0890983018014</v>
      </c>
      <c r="E14" s="27">
        <v>1504.2144725313735</v>
      </c>
      <c r="F14" s="27">
        <v>657.925572527709</v>
      </c>
      <c r="G14" s="27">
        <v>1204.1445011206117</v>
      </c>
      <c r="H14" s="27">
        <v>839.7533636236905</v>
      </c>
      <c r="I14" s="27">
        <v>455.4756559787663</v>
      </c>
      <c r="J14" s="27">
        <v>2515.2886227973468</v>
      </c>
      <c r="K14" s="27">
        <v>9588.505132031663</v>
      </c>
    </row>
    <row r="15" spans="1:11" ht="12.75">
      <c r="A15" s="34"/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spans="1:11" ht="12.75">
      <c r="A16" s="32" t="s">
        <v>136</v>
      </c>
      <c r="B16" s="38"/>
      <c r="C16" s="38"/>
      <c r="D16" s="38"/>
      <c r="E16" s="38"/>
      <c r="F16" s="38"/>
      <c r="G16" s="38"/>
      <c r="H16" s="38"/>
      <c r="I16" s="38"/>
      <c r="J16" s="38"/>
      <c r="K16" s="39"/>
    </row>
    <row r="17" spans="1:11" ht="12.75">
      <c r="A17" s="32"/>
      <c r="B17" s="38"/>
      <c r="C17" s="38"/>
      <c r="D17" s="38"/>
      <c r="E17" s="38"/>
      <c r="F17" s="38"/>
      <c r="G17" s="38"/>
      <c r="H17" s="38"/>
      <c r="I17" s="38"/>
      <c r="J17" s="38"/>
      <c r="K17" s="39"/>
    </row>
    <row r="18" spans="1:11" ht="12.75">
      <c r="A18" s="34"/>
      <c r="B18" s="40" t="s">
        <v>0</v>
      </c>
      <c r="C18" s="40" t="s">
        <v>1</v>
      </c>
      <c r="D18" s="40" t="s">
        <v>2</v>
      </c>
      <c r="E18" s="40" t="s">
        <v>3</v>
      </c>
      <c r="F18" s="40" t="s">
        <v>4</v>
      </c>
      <c r="G18" s="40" t="s">
        <v>5</v>
      </c>
      <c r="H18" s="40" t="s">
        <v>6</v>
      </c>
      <c r="I18" s="40" t="s">
        <v>7</v>
      </c>
      <c r="J18" s="40" t="s">
        <v>8</v>
      </c>
      <c r="K18" s="40" t="s">
        <v>9</v>
      </c>
    </row>
    <row r="19" spans="1:11" ht="12.75">
      <c r="A19" s="34" t="s">
        <v>135</v>
      </c>
      <c r="B19" s="26">
        <v>519.265757402695</v>
      </c>
      <c r="C19" s="26">
        <v>1041.6731669812982</v>
      </c>
      <c r="D19" s="26">
        <v>2933.9085701132603</v>
      </c>
      <c r="E19" s="26">
        <v>2559.969211640608</v>
      </c>
      <c r="F19" s="26">
        <v>1015.4596731706705</v>
      </c>
      <c r="G19" s="26">
        <v>2205.859190038456</v>
      </c>
      <c r="H19" s="26">
        <v>1337.718508532636</v>
      </c>
      <c r="I19" s="26">
        <v>713.5430053186271</v>
      </c>
      <c r="J19" s="26">
        <v>3340.168391686383</v>
      </c>
      <c r="K19" s="27">
        <v>15667.565474884632</v>
      </c>
    </row>
    <row r="20" spans="1:11" ht="12.75">
      <c r="A20" s="34" t="s">
        <v>10</v>
      </c>
      <c r="B20" s="26">
        <v>2.83711359764752</v>
      </c>
      <c r="C20" s="26">
        <v>5.628205296058557</v>
      </c>
      <c r="D20" s="26">
        <v>15.947531482906081</v>
      </c>
      <c r="E20" s="26">
        <v>14.033914671366103</v>
      </c>
      <c r="F20" s="26">
        <v>3.9961550632114524</v>
      </c>
      <c r="G20" s="26">
        <v>11.996890527424403</v>
      </c>
      <c r="H20" s="26">
        <v>7.194424086030107</v>
      </c>
      <c r="I20" s="26">
        <v>3.7956689814780837</v>
      </c>
      <c r="J20" s="26">
        <v>17.986931428729555</v>
      </c>
      <c r="K20" s="27">
        <v>83.41683513485188</v>
      </c>
    </row>
    <row r="21" spans="1:11" ht="12.75">
      <c r="A21" s="36" t="s">
        <v>121</v>
      </c>
      <c r="B21" s="27">
        <v>522.1028710003426</v>
      </c>
      <c r="C21" s="27">
        <v>1047.3013722773567</v>
      </c>
      <c r="D21" s="27">
        <v>2949.8561015961664</v>
      </c>
      <c r="E21" s="27">
        <v>2574.003126311974</v>
      </c>
      <c r="F21" s="27">
        <v>1019.4558282338819</v>
      </c>
      <c r="G21" s="27">
        <v>2217.8560805658803</v>
      </c>
      <c r="H21" s="27">
        <v>1344.912932618666</v>
      </c>
      <c r="I21" s="27">
        <v>717.3386743001053</v>
      </c>
      <c r="J21" s="27">
        <v>3358.1553231151124</v>
      </c>
      <c r="K21" s="27">
        <v>15750.982310019484</v>
      </c>
    </row>
    <row r="22" spans="1:11" ht="12.75">
      <c r="A22" s="36" t="s">
        <v>122</v>
      </c>
      <c r="B22" s="27">
        <v>-6.3759999999999994</v>
      </c>
      <c r="C22" s="27">
        <v>-12.324499999999999</v>
      </c>
      <c r="D22" s="27">
        <v>-37.304</v>
      </c>
      <c r="E22" s="27">
        <v>-37.457420000000006</v>
      </c>
      <c r="F22" s="27">
        <v>-9.2675</v>
      </c>
      <c r="G22" s="27">
        <v>-38.818234999999994</v>
      </c>
      <c r="H22" s="27">
        <v>-19.591</v>
      </c>
      <c r="I22" s="27">
        <v>-8.830200000000003</v>
      </c>
      <c r="J22" s="27">
        <v>-74.687</v>
      </c>
      <c r="K22" s="27">
        <v>-244.65585499999997</v>
      </c>
    </row>
    <row r="23" spans="1:11" ht="12.75">
      <c r="A23" s="36" t="s">
        <v>123</v>
      </c>
      <c r="B23" s="27">
        <v>515.7268710003426</v>
      </c>
      <c r="C23" s="27">
        <v>1034.9768722773567</v>
      </c>
      <c r="D23" s="27">
        <v>2912.5521015961663</v>
      </c>
      <c r="E23" s="27">
        <v>2536.545706311974</v>
      </c>
      <c r="F23" s="27">
        <v>1010.1883282338819</v>
      </c>
      <c r="G23" s="27">
        <v>2179.03784556588</v>
      </c>
      <c r="H23" s="27">
        <v>1325.321932618666</v>
      </c>
      <c r="I23" s="27">
        <v>708.5084743001053</v>
      </c>
      <c r="J23" s="27">
        <v>3283.4683231151125</v>
      </c>
      <c r="K23" s="27">
        <v>15506.326455019484</v>
      </c>
    </row>
    <row r="24" spans="1:11" ht="12.75">
      <c r="A24" s="36" t="s">
        <v>12</v>
      </c>
      <c r="B24" s="26">
        <v>0</v>
      </c>
      <c r="C24" s="26">
        <v>0.6917920000000001</v>
      </c>
      <c r="D24" s="26">
        <v>0.698881</v>
      </c>
      <c r="E24" s="26">
        <v>0.532796</v>
      </c>
      <c r="F24" s="26">
        <v>0.689827</v>
      </c>
      <c r="G24" s="26">
        <v>0.059272</v>
      </c>
      <c r="H24" s="26">
        <v>1.4340050000000002</v>
      </c>
      <c r="I24" s="26">
        <v>2.6745799999999997</v>
      </c>
      <c r="J24" s="26">
        <v>2.638638</v>
      </c>
      <c r="K24" s="27">
        <v>9.419791</v>
      </c>
    </row>
    <row r="25" spans="1:11" ht="12.75">
      <c r="A25" s="32" t="s">
        <v>11</v>
      </c>
      <c r="B25" s="27">
        <v>515.7268710003426</v>
      </c>
      <c r="C25" s="27">
        <v>1035.6686642773568</v>
      </c>
      <c r="D25" s="27">
        <v>2913.250982596166</v>
      </c>
      <c r="E25" s="27">
        <v>2537.078502311974</v>
      </c>
      <c r="F25" s="27">
        <v>1010.8781552338819</v>
      </c>
      <c r="G25" s="27">
        <v>2179.09711756588</v>
      </c>
      <c r="H25" s="27">
        <v>1326.7559376186662</v>
      </c>
      <c r="I25" s="27">
        <v>711.1830543001053</v>
      </c>
      <c r="J25" s="27">
        <v>3286.1069611151124</v>
      </c>
      <c r="K25" s="27">
        <v>15515.746246019484</v>
      </c>
    </row>
    <row r="26" spans="1:11" ht="12.75">
      <c r="A26" s="32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2.75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32" t="s">
        <v>148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12.75">
      <c r="A29" s="34"/>
      <c r="B29" s="99" t="s">
        <v>0</v>
      </c>
      <c r="C29" s="99" t="s">
        <v>1</v>
      </c>
      <c r="D29" s="99" t="s">
        <v>2</v>
      </c>
      <c r="E29" s="99" t="s">
        <v>3</v>
      </c>
      <c r="F29" s="99" t="s">
        <v>4</v>
      </c>
      <c r="G29" s="99" t="s">
        <v>5</v>
      </c>
      <c r="H29" s="99" t="s">
        <v>6</v>
      </c>
      <c r="I29" s="99" t="s">
        <v>7</v>
      </c>
      <c r="J29" s="99" t="s">
        <v>8</v>
      </c>
      <c r="K29" s="99" t="s">
        <v>9</v>
      </c>
    </row>
    <row r="30" spans="1:12" ht="12.75">
      <c r="A30" s="34" t="s">
        <v>146</v>
      </c>
      <c r="B30" s="26">
        <v>16.599368037077955</v>
      </c>
      <c r="C30" s="26">
        <v>41.42354112438559</v>
      </c>
      <c r="D30" s="26">
        <v>96.80155023983636</v>
      </c>
      <c r="E30" s="26">
        <v>95.10637776880083</v>
      </c>
      <c r="F30" s="26">
        <v>40.13463444843669</v>
      </c>
      <c r="G30" s="26">
        <v>84.45590244207793</v>
      </c>
      <c r="H30" s="26">
        <v>66.43693821372464</v>
      </c>
      <c r="I30" s="26">
        <v>23.097161848347454</v>
      </c>
      <c r="J30" s="26">
        <v>162.0622788263149</v>
      </c>
      <c r="K30" s="26">
        <v>626.1177529490024</v>
      </c>
      <c r="L30" s="45"/>
    </row>
    <row r="31" spans="1:12" ht="12.75">
      <c r="A31" s="34" t="s">
        <v>149</v>
      </c>
      <c r="B31" s="26">
        <v>3.9892345042290747</v>
      </c>
      <c r="C31" s="26">
        <v>10.69741460951319</v>
      </c>
      <c r="D31" s="26">
        <v>22.41385218530885</v>
      </c>
      <c r="E31" s="26">
        <v>21.236624740242807</v>
      </c>
      <c r="F31" s="26">
        <v>9.971535236270887</v>
      </c>
      <c r="G31" s="26">
        <v>19.983397104388573</v>
      </c>
      <c r="H31" s="26">
        <v>12.380275976965974</v>
      </c>
      <c r="I31" s="26">
        <v>5.765157329789841</v>
      </c>
      <c r="J31" s="26">
        <v>48.6649384932704</v>
      </c>
      <c r="K31" s="26">
        <v>155.1024301799796</v>
      </c>
      <c r="L31" s="45"/>
    </row>
    <row r="32" spans="1:12" ht="12.75">
      <c r="A32" s="34" t="s">
        <v>150</v>
      </c>
      <c r="B32" s="26">
        <v>5.896859103603414</v>
      </c>
      <c r="C32" s="26">
        <v>15.812844960168254</v>
      </c>
      <c r="D32" s="26">
        <v>33.13200268513724</v>
      </c>
      <c r="E32" s="26">
        <v>31.391833144066084</v>
      </c>
      <c r="F32" s="26">
        <v>14.73985504551569</v>
      </c>
      <c r="G32" s="26">
        <v>29.53932064184541</v>
      </c>
      <c r="H32" s="26">
        <v>18.300439099907646</v>
      </c>
      <c r="I32" s="26">
        <v>8.522016052913642</v>
      </c>
      <c r="J32" s="26">
        <v>71.93617855157882</v>
      </c>
      <c r="K32" s="26">
        <v>229.2713492847362</v>
      </c>
      <c r="L32" s="45"/>
    </row>
    <row r="33" spans="1:12" ht="12.75">
      <c r="A33" s="34" t="s">
        <v>201</v>
      </c>
      <c r="B33" s="26">
        <v>0.13433242920767194</v>
      </c>
      <c r="C33" s="26">
        <v>0.8062962352442525</v>
      </c>
      <c r="D33" s="26">
        <v>1.0036642640801234</v>
      </c>
      <c r="E33" s="26">
        <v>2.9613968925329</v>
      </c>
      <c r="F33" s="26">
        <v>3.6849055782654556</v>
      </c>
      <c r="G33" s="26">
        <v>3.30167510052585</v>
      </c>
      <c r="H33" s="26">
        <v>2.9021666528822574</v>
      </c>
      <c r="I33" s="26">
        <v>3.471501249524171</v>
      </c>
      <c r="J33" s="26">
        <v>22.79828335552972</v>
      </c>
      <c r="K33" s="26">
        <v>41.0642217577924</v>
      </c>
      <c r="L33" s="45"/>
    </row>
    <row r="34" spans="1:12" ht="12.75">
      <c r="A34" s="34" t="s">
        <v>152</v>
      </c>
      <c r="B34" s="26"/>
      <c r="C34" s="26"/>
      <c r="D34" s="26"/>
      <c r="E34" s="26"/>
      <c r="F34" s="26"/>
      <c r="G34" s="26"/>
      <c r="H34" s="26"/>
      <c r="I34" s="26"/>
      <c r="J34" s="26"/>
      <c r="K34" s="26">
        <v>1.2639266527337718</v>
      </c>
      <c r="L34" s="45"/>
    </row>
    <row r="35" spans="1:12" ht="12.75">
      <c r="A35" s="34" t="s">
        <v>153</v>
      </c>
      <c r="B35" s="26">
        <v>0</v>
      </c>
      <c r="C35" s="26">
        <v>0</v>
      </c>
      <c r="D35" s="26">
        <v>0</v>
      </c>
      <c r="E35" s="26">
        <v>3.2967239035097493</v>
      </c>
      <c r="F35" s="26">
        <v>3.011821837774338</v>
      </c>
      <c r="G35" s="26">
        <v>4.517732756661507</v>
      </c>
      <c r="H35" s="26">
        <v>3.5409256741401003</v>
      </c>
      <c r="I35" s="26">
        <v>0</v>
      </c>
      <c r="J35" s="26">
        <v>26.333090932972933</v>
      </c>
      <c r="K35" s="26">
        <v>40.70029510505863</v>
      </c>
      <c r="L35" s="45"/>
    </row>
    <row r="36" spans="1:12" ht="12.75">
      <c r="A36" s="34" t="s">
        <v>202</v>
      </c>
      <c r="B36" s="26">
        <v>4.528218416516163</v>
      </c>
      <c r="C36" s="26">
        <v>7.68402962988613</v>
      </c>
      <c r="D36" s="26">
        <v>22.464601012676813</v>
      </c>
      <c r="E36" s="26">
        <v>19.693635184553536</v>
      </c>
      <c r="F36" s="26">
        <v>7.380811417989294</v>
      </c>
      <c r="G36" s="26">
        <v>16.791715686813475</v>
      </c>
      <c r="H36" s="26">
        <v>9.957122736045793</v>
      </c>
      <c r="I36" s="26">
        <v>5.180941799072869</v>
      </c>
      <c r="J36" s="26">
        <v>22.348924116445932</v>
      </c>
      <c r="K36" s="26">
        <v>116.03</v>
      </c>
      <c r="L36" s="45"/>
    </row>
    <row r="37" spans="1:12" ht="12.75">
      <c r="A37" s="34" t="s">
        <v>203</v>
      </c>
      <c r="B37" s="26">
        <v>0.1735345279494714</v>
      </c>
      <c r="C37" s="26">
        <v>2.268939756785979</v>
      </c>
      <c r="D37" s="26">
        <v>2.2006589187557193</v>
      </c>
      <c r="E37" s="26">
        <v>3.324585331068308</v>
      </c>
      <c r="F37" s="26">
        <v>1.9392170654027465</v>
      </c>
      <c r="G37" s="26">
        <v>4.324978510338514</v>
      </c>
      <c r="H37" s="26">
        <v>1.607042267768164</v>
      </c>
      <c r="I37" s="26">
        <v>0.1610436219310984</v>
      </c>
      <c r="J37" s="26">
        <v>0</v>
      </c>
      <c r="K37" s="26">
        <v>16.000000000000004</v>
      </c>
      <c r="L37" s="45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45"/>
    </row>
    <row r="39" spans="1:12" ht="12.75">
      <c r="A39" s="34" t="s">
        <v>184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45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45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45"/>
    </row>
    <row r="42" spans="1:11" ht="12.75">
      <c r="A42" s="33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ht="12.75">
      <c r="A44" s="51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2.75">
      <c r="A45" s="41" t="s">
        <v>15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12.75">
      <c r="A47" s="41" t="s">
        <v>16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ht="12.75">
      <c r="A48" s="34" t="s">
        <v>14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ht="12.75">
      <c r="A49" s="34"/>
      <c r="B49" s="6" t="s">
        <v>0</v>
      </c>
      <c r="C49" s="6" t="s">
        <v>1</v>
      </c>
      <c r="D49" s="6" t="s">
        <v>2</v>
      </c>
      <c r="E49" s="6" t="s">
        <v>3</v>
      </c>
      <c r="F49" s="6" t="s">
        <v>4</v>
      </c>
      <c r="G49" s="6" t="s">
        <v>5</v>
      </c>
      <c r="H49" s="6" t="s">
        <v>6</v>
      </c>
      <c r="I49" s="6" t="s">
        <v>7</v>
      </c>
      <c r="J49" s="6" t="s">
        <v>8</v>
      </c>
      <c r="K49" s="6" t="s">
        <v>9</v>
      </c>
    </row>
    <row r="50" spans="1:11" ht="12.75">
      <c r="A50" s="34" t="s">
        <v>137</v>
      </c>
      <c r="B50" s="42">
        <v>11.331635883132634</v>
      </c>
      <c r="C50" s="42">
        <v>38.432566252732485</v>
      </c>
      <c r="D50" s="42">
        <v>68.69097440533695</v>
      </c>
      <c r="E50" s="42">
        <v>65.98585733622984</v>
      </c>
      <c r="F50" s="42">
        <v>42.63952089197932</v>
      </c>
      <c r="G50" s="42">
        <v>59.19592302062822</v>
      </c>
      <c r="H50" s="42">
        <v>65.64658680080672</v>
      </c>
      <c r="I50" s="42">
        <v>21.763073945609225</v>
      </c>
      <c r="J50" s="42">
        <v>78.674575361055</v>
      </c>
      <c r="K50" s="37">
        <v>452.3607138975104</v>
      </c>
    </row>
    <row r="51" spans="1:11" ht="12.75">
      <c r="A51" s="34" t="s">
        <v>10</v>
      </c>
      <c r="B51" s="42">
        <v>0.09433977715401307</v>
      </c>
      <c r="C51" s="42">
        <v>0.3199643699403096</v>
      </c>
      <c r="D51" s="42">
        <v>0.5718760543248355</v>
      </c>
      <c r="E51" s="42">
        <v>0.5493550216948424</v>
      </c>
      <c r="F51" s="42">
        <v>0.3549887183448009</v>
      </c>
      <c r="G51" s="42">
        <v>0.49282647658181666</v>
      </c>
      <c r="H51" s="42">
        <v>0.5465304774686738</v>
      </c>
      <c r="I51" s="42">
        <v>0.1811850969612642</v>
      </c>
      <c r="J51" s="42">
        <v>0.6549929757535429</v>
      </c>
      <c r="K51" s="37">
        <v>3.766058968224099</v>
      </c>
    </row>
    <row r="52" spans="1:11" ht="12.75">
      <c r="A52" s="43" t="s">
        <v>11</v>
      </c>
      <c r="B52" s="37">
        <v>11.425975660286648</v>
      </c>
      <c r="C52" s="37">
        <v>38.75253062267279</v>
      </c>
      <c r="D52" s="37">
        <v>69.26285045966178</v>
      </c>
      <c r="E52" s="37">
        <v>66.53521235792468</v>
      </c>
      <c r="F52" s="37">
        <v>42.99450961032412</v>
      </c>
      <c r="G52" s="37">
        <v>59.68874949721004</v>
      </c>
      <c r="H52" s="37">
        <v>66.1931172782754</v>
      </c>
      <c r="I52" s="37">
        <v>21.94425904257049</v>
      </c>
      <c r="J52" s="37">
        <v>79.32956833680855</v>
      </c>
      <c r="K52" s="37">
        <v>456.1267728657345</v>
      </c>
    </row>
    <row r="53" spans="1:11" ht="12.75">
      <c r="A53" s="33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2.75">
      <c r="A54" s="41" t="s">
        <v>17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2.75">
      <c r="A55" s="34" t="s">
        <v>14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2.75">
      <c r="A56" s="34"/>
      <c r="B56" s="40" t="s">
        <v>0</v>
      </c>
      <c r="C56" s="40" t="s">
        <v>1</v>
      </c>
      <c r="D56" s="40" t="s">
        <v>2</v>
      </c>
      <c r="E56" s="40" t="s">
        <v>3</v>
      </c>
      <c r="F56" s="40" t="s">
        <v>4</v>
      </c>
      <c r="G56" s="40" t="s">
        <v>5</v>
      </c>
      <c r="H56" s="40" t="s">
        <v>6</v>
      </c>
      <c r="I56" s="40" t="s">
        <v>7</v>
      </c>
      <c r="J56" s="40" t="s">
        <v>8</v>
      </c>
      <c r="K56" s="40" t="s">
        <v>9</v>
      </c>
    </row>
    <row r="57" spans="1:11" ht="12.75">
      <c r="A57" s="34" t="s">
        <v>137</v>
      </c>
      <c r="B57" s="42">
        <v>0.06624241751905928</v>
      </c>
      <c r="C57" s="42">
        <v>0.5720425716264527</v>
      </c>
      <c r="D57" s="42">
        <v>8.12367816879921</v>
      </c>
      <c r="E57" s="42">
        <v>4.06885628964527</v>
      </c>
      <c r="F57" s="42">
        <v>2.771515383827082</v>
      </c>
      <c r="G57" s="42">
        <v>1.3922135207395514</v>
      </c>
      <c r="H57" s="42">
        <v>0.6046024039663292</v>
      </c>
      <c r="I57" s="42">
        <v>0.4474170064634767</v>
      </c>
      <c r="J57" s="42">
        <v>38.09107420271804</v>
      </c>
      <c r="K57" s="42">
        <v>56.137641965304475</v>
      </c>
    </row>
    <row r="58" spans="1:11" ht="12.75">
      <c r="A58" s="34" t="s">
        <v>10</v>
      </c>
      <c r="B58" s="42">
        <v>-0.0003503918156541772</v>
      </c>
      <c r="C58" s="42">
        <v>-0.003025841187725291</v>
      </c>
      <c r="D58" s="42">
        <v>-0.04297050817230229</v>
      </c>
      <c r="E58" s="42">
        <v>-0.021522371863232366</v>
      </c>
      <c r="F58" s="42">
        <v>-0.014660037236311383</v>
      </c>
      <c r="G58" s="42">
        <v>-0.007364166973070496</v>
      </c>
      <c r="H58" s="42">
        <v>-0.0031980676733859353</v>
      </c>
      <c r="I58" s="42">
        <v>-0.0023666294667489753</v>
      </c>
      <c r="J58" s="42">
        <v>-0.201484202267653</v>
      </c>
      <c r="K58" s="42">
        <v>-0.29694221665608395</v>
      </c>
    </row>
    <row r="59" spans="1:11" ht="12.75">
      <c r="A59" s="43" t="s">
        <v>11</v>
      </c>
      <c r="B59" s="37">
        <v>0.0658920257034051</v>
      </c>
      <c r="C59" s="37">
        <v>0.5690167304387274</v>
      </c>
      <c r="D59" s="37">
        <v>8.080707660626906</v>
      </c>
      <c r="E59" s="37">
        <v>4.047333917782037</v>
      </c>
      <c r="F59" s="37">
        <v>2.7568553465907706</v>
      </c>
      <c r="G59" s="37">
        <v>1.384849353766481</v>
      </c>
      <c r="H59" s="37">
        <v>0.6014043362929433</v>
      </c>
      <c r="I59" s="37">
        <v>0.4450503769967277</v>
      </c>
      <c r="J59" s="37">
        <v>37.88959000045039</v>
      </c>
      <c r="K59" s="37">
        <v>55.84069974864839</v>
      </c>
    </row>
    <row r="60" spans="1:11" ht="12.75">
      <c r="A60" s="33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12.75">
      <c r="A61" s="41" t="s">
        <v>18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12.75">
      <c r="A62" s="34" t="s">
        <v>14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2.75">
      <c r="A63" s="34"/>
      <c r="B63" s="40" t="s">
        <v>0</v>
      </c>
      <c r="C63" s="40" t="s">
        <v>1</v>
      </c>
      <c r="D63" s="40" t="s">
        <v>2</v>
      </c>
      <c r="E63" s="40" t="s">
        <v>3</v>
      </c>
      <c r="F63" s="40" t="s">
        <v>4</v>
      </c>
      <c r="G63" s="40" t="s">
        <v>5</v>
      </c>
      <c r="H63" s="40" t="s">
        <v>6</v>
      </c>
      <c r="I63" s="40" t="s">
        <v>7</v>
      </c>
      <c r="J63" s="40" t="s">
        <v>8</v>
      </c>
      <c r="K63" s="40" t="s">
        <v>9</v>
      </c>
    </row>
    <row r="64" spans="1:11" ht="12.75">
      <c r="A64" s="34" t="s">
        <v>137</v>
      </c>
      <c r="B64" s="42">
        <v>1.2657525886530887</v>
      </c>
      <c r="C64" s="42">
        <v>2.447974400670919</v>
      </c>
      <c r="D64" s="42">
        <v>7.156761601547047</v>
      </c>
      <c r="E64" s="42">
        <v>6.273988663504616</v>
      </c>
      <c r="F64" s="42">
        <v>2.351375291050923</v>
      </c>
      <c r="G64" s="42">
        <v>5.349496569454644</v>
      </c>
      <c r="H64" s="42">
        <v>3.1721352904959694</v>
      </c>
      <c r="I64" s="42">
        <v>1.6505419039728857</v>
      </c>
      <c r="J64" s="42">
        <v>7.7570683341862265</v>
      </c>
      <c r="K64" s="42">
        <v>37.42509464353632</v>
      </c>
    </row>
    <row r="65" spans="1:11" ht="12.75">
      <c r="A65" s="34" t="s">
        <v>10</v>
      </c>
      <c r="B65" s="42">
        <v>-0.006714262271751523</v>
      </c>
      <c r="C65" s="42">
        <v>-0.013020994932949633</v>
      </c>
      <c r="D65" s="42">
        <v>-0.037931540964560556</v>
      </c>
      <c r="E65" s="42">
        <v>-0.03323103982437442</v>
      </c>
      <c r="F65" s="42">
        <v>-0.012466115804547826</v>
      </c>
      <c r="G65" s="42">
        <v>-0.028379254849907738</v>
      </c>
      <c r="H65" s="42">
        <v>-0.016746886269525932</v>
      </c>
      <c r="I65" s="42">
        <v>-0.008724697969189493</v>
      </c>
      <c r="J65" s="42">
        <v>-0.040746684883916716</v>
      </c>
      <c r="K65" s="42">
        <v>-0.19796147777072381</v>
      </c>
    </row>
    <row r="66" spans="1:11" ht="12.75">
      <c r="A66" s="43" t="s">
        <v>11</v>
      </c>
      <c r="B66" s="37">
        <v>1.2590383263813372</v>
      </c>
      <c r="C66" s="37">
        <v>2.434953405737969</v>
      </c>
      <c r="D66" s="37">
        <v>7.118830060582487</v>
      </c>
      <c r="E66" s="37">
        <v>6.240757623680241</v>
      </c>
      <c r="F66" s="37">
        <v>2.338909175246375</v>
      </c>
      <c r="G66" s="37">
        <v>5.321117314604736</v>
      </c>
      <c r="H66" s="37">
        <v>3.1553884042264433</v>
      </c>
      <c r="I66" s="37">
        <v>1.6418172060036962</v>
      </c>
      <c r="J66" s="37">
        <v>7.7163216493023095</v>
      </c>
      <c r="K66" s="37">
        <v>37.2271331657656</v>
      </c>
    </row>
    <row r="68" spans="1:11" ht="12.75">
      <c r="A68" s="15" t="s">
        <v>172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4" t="s">
        <v>14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4" t="s">
        <v>170</v>
      </c>
      <c r="B70" s="33"/>
      <c r="C70" s="33"/>
      <c r="D70" s="54">
        <v>0.08651616962650799</v>
      </c>
      <c r="E70" s="33"/>
      <c r="F70" s="33"/>
      <c r="G70" s="33"/>
      <c r="H70" s="33"/>
      <c r="I70" s="33"/>
      <c r="J70" s="33"/>
      <c r="K70" s="33"/>
    </row>
    <row r="71" spans="1:11" ht="12.75">
      <c r="A71" s="4"/>
      <c r="B71" s="40" t="s">
        <v>0</v>
      </c>
      <c r="C71" s="40" t="s">
        <v>1</v>
      </c>
      <c r="D71" s="40" t="s">
        <v>2</v>
      </c>
      <c r="E71" s="40" t="s">
        <v>3</v>
      </c>
      <c r="F71" s="40" t="s">
        <v>4</v>
      </c>
      <c r="G71" s="40" t="s">
        <v>5</v>
      </c>
      <c r="H71" s="40" t="s">
        <v>6</v>
      </c>
      <c r="I71" s="40" t="s">
        <v>7</v>
      </c>
      <c r="J71" s="40" t="s">
        <v>8</v>
      </c>
      <c r="K71" s="40" t="s">
        <v>9</v>
      </c>
    </row>
    <row r="72" spans="1:11" s="45" customFormat="1" ht="12.75">
      <c r="A72" s="47" t="s">
        <v>171</v>
      </c>
      <c r="B72" s="42">
        <v>4.8341860200000015</v>
      </c>
      <c r="C72" s="42">
        <v>23.91465138</v>
      </c>
      <c r="D72" s="42">
        <v>54.86608907857146</v>
      </c>
      <c r="E72" s="42">
        <v>52.7744495114286</v>
      </c>
      <c r="F72" s="42">
        <v>24.210070198571437</v>
      </c>
      <c r="G72" s="42">
        <v>50.08331037714287</v>
      </c>
      <c r="H72" s="42">
        <v>26.231212927142856</v>
      </c>
      <c r="I72" s="42">
        <v>18.86411887285715</v>
      </c>
      <c r="J72" s="42">
        <v>0</v>
      </c>
      <c r="K72" s="42">
        <v>255.77808836571438</v>
      </c>
    </row>
    <row r="73" spans="1:11" ht="12.75">
      <c r="A73" s="47"/>
      <c r="B73" s="42"/>
      <c r="C73" s="42"/>
      <c r="D73" s="42"/>
      <c r="E73" s="42"/>
      <c r="F73" s="42"/>
      <c r="G73" s="42"/>
      <c r="H73" s="42"/>
      <c r="I73" s="42"/>
      <c r="J73" s="42"/>
      <c r="K73" s="42"/>
    </row>
  </sheetData>
  <sheetProtection/>
  <printOptions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6.00390625" style="30" customWidth="1"/>
    <col min="2" max="10" width="8.57421875" style="30" customWidth="1"/>
    <col min="11" max="11" width="9.140625" style="30" bestFit="1" customWidth="1"/>
    <col min="12" max="16384" width="11.421875" style="30" customWidth="1"/>
  </cols>
  <sheetData>
    <row r="1" ht="15.75">
      <c r="A1" s="29" t="s">
        <v>191</v>
      </c>
    </row>
    <row r="2" ht="12.75">
      <c r="A2" s="50"/>
    </row>
    <row r="5" spans="1:11" ht="12.75">
      <c r="A5" s="32" t="s">
        <v>142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34"/>
      <c r="B7" s="35" t="s">
        <v>0</v>
      </c>
      <c r="C7" s="35" t="s">
        <v>1</v>
      </c>
      <c r="D7" s="35" t="s">
        <v>2</v>
      </c>
      <c r="E7" s="35" t="s">
        <v>3</v>
      </c>
      <c r="F7" s="35" t="s">
        <v>4</v>
      </c>
      <c r="G7" s="35" t="s">
        <v>5</v>
      </c>
      <c r="H7" s="35" t="s">
        <v>6</v>
      </c>
      <c r="I7" s="35" t="s">
        <v>7</v>
      </c>
      <c r="J7" s="35" t="s">
        <v>8</v>
      </c>
      <c r="K7" s="35" t="s">
        <v>9</v>
      </c>
    </row>
    <row r="8" spans="1:11" ht="12.75">
      <c r="A8" s="34" t="s">
        <v>143</v>
      </c>
      <c r="B8" s="26">
        <v>253.74076208833569</v>
      </c>
      <c r="C8" s="26">
        <v>603.3629452739327</v>
      </c>
      <c r="D8" s="26">
        <v>1629.2475027648163</v>
      </c>
      <c r="E8" s="26">
        <v>1533.3456813607202</v>
      </c>
      <c r="F8" s="26">
        <v>671.5097870943455</v>
      </c>
      <c r="G8" s="26">
        <v>1236.203782013042</v>
      </c>
      <c r="H8" s="26">
        <v>858.0736645407917</v>
      </c>
      <c r="I8" s="26">
        <v>459.31046882033417</v>
      </c>
      <c r="J8" s="26">
        <v>2545.4982017797074</v>
      </c>
      <c r="K8" s="27">
        <v>9790.292795736026</v>
      </c>
    </row>
    <row r="9" spans="1:11" ht="12.75">
      <c r="A9" s="34" t="s">
        <v>10</v>
      </c>
      <c r="B9" s="26">
        <v>1.7065082671107374</v>
      </c>
      <c r="C9" s="26">
        <v>4.3776776798993815</v>
      </c>
      <c r="D9" s="26">
        <v>11.357127708999673</v>
      </c>
      <c r="E9" s="26">
        <v>10.026594740735135</v>
      </c>
      <c r="F9" s="26">
        <v>5.861278688221006</v>
      </c>
      <c r="G9" s="26">
        <v>7.742472096406854</v>
      </c>
      <c r="H9" s="26">
        <v>9.580732643383556</v>
      </c>
      <c r="I9" s="26">
        <v>1.598383330433455</v>
      </c>
      <c r="J9" s="26">
        <v>24.44324458994344</v>
      </c>
      <c r="K9" s="27">
        <v>76.69401974513325</v>
      </c>
    </row>
    <row r="10" spans="1:11" ht="12.75">
      <c r="A10" s="36" t="s">
        <v>121</v>
      </c>
      <c r="B10" s="27">
        <v>255.44727035544642</v>
      </c>
      <c r="C10" s="27">
        <v>607.7406229538321</v>
      </c>
      <c r="D10" s="27">
        <v>1640.604630473816</v>
      </c>
      <c r="E10" s="27">
        <v>1543.3722761014553</v>
      </c>
      <c r="F10" s="27">
        <v>677.3710657825665</v>
      </c>
      <c r="G10" s="27">
        <v>1243.9462541094488</v>
      </c>
      <c r="H10" s="27">
        <v>867.6543971841752</v>
      </c>
      <c r="I10" s="27">
        <v>460.90885215076764</v>
      </c>
      <c r="J10" s="27">
        <v>2569.9414463696507</v>
      </c>
      <c r="K10" s="27">
        <v>9866.98681548116</v>
      </c>
    </row>
    <row r="11" spans="1:11" ht="12.75">
      <c r="A11" s="36" t="s">
        <v>122</v>
      </c>
      <c r="B11" s="27">
        <v>-6.3759999999999994</v>
      </c>
      <c r="C11" s="27">
        <v>-12.324499999999999</v>
      </c>
      <c r="D11" s="27">
        <v>-35.492000000000004</v>
      </c>
      <c r="E11" s="27">
        <v>-19.788580000000003</v>
      </c>
      <c r="F11" s="27">
        <v>-9.2675</v>
      </c>
      <c r="G11" s="27">
        <v>-27.473764999999997</v>
      </c>
      <c r="H11" s="27">
        <v>-10.549</v>
      </c>
      <c r="I11" s="27">
        <v>-5.8868</v>
      </c>
      <c r="J11" s="27">
        <v>0</v>
      </c>
      <c r="K11" s="27">
        <v>-127.15814499999999</v>
      </c>
    </row>
    <row r="12" spans="1:11" ht="12.75">
      <c r="A12" s="36" t="s">
        <v>123</v>
      </c>
      <c r="B12" s="27">
        <v>249.07127035544642</v>
      </c>
      <c r="C12" s="27">
        <v>595.4161229538322</v>
      </c>
      <c r="D12" s="27">
        <v>1605.1126304738161</v>
      </c>
      <c r="E12" s="27">
        <v>1523.5836961014554</v>
      </c>
      <c r="F12" s="27">
        <v>668.1035657825664</v>
      </c>
      <c r="G12" s="27">
        <v>1216.4724891094488</v>
      </c>
      <c r="H12" s="27">
        <v>857.1053971841752</v>
      </c>
      <c r="I12" s="27">
        <v>455.02205215076765</v>
      </c>
      <c r="J12" s="27">
        <v>2569.9414463696507</v>
      </c>
      <c r="K12" s="27">
        <v>9739.82867048116</v>
      </c>
    </row>
    <row r="13" spans="1:11" ht="12.75">
      <c r="A13" s="36" t="s">
        <v>12</v>
      </c>
      <c r="B13" s="26">
        <v>0</v>
      </c>
      <c r="C13" s="26">
        <v>0.954025</v>
      </c>
      <c r="D13" s="26">
        <v>1.037838</v>
      </c>
      <c r="E13" s="26">
        <v>0.7988540000000001</v>
      </c>
      <c r="F13" s="26">
        <v>1.005075</v>
      </c>
      <c r="G13" s="26">
        <v>0.353262</v>
      </c>
      <c r="H13" s="26">
        <v>2.203537</v>
      </c>
      <c r="I13" s="26">
        <v>3.089478</v>
      </c>
      <c r="J13" s="26">
        <v>2.967968</v>
      </c>
      <c r="K13" s="27">
        <v>12.410036999999999</v>
      </c>
    </row>
    <row r="14" spans="1:11" ht="12.75">
      <c r="A14" s="32" t="s">
        <v>11</v>
      </c>
      <c r="B14" s="27">
        <v>249.07127035544642</v>
      </c>
      <c r="C14" s="27">
        <v>596.3701479538322</v>
      </c>
      <c r="D14" s="27">
        <v>1606.150468473816</v>
      </c>
      <c r="E14" s="27">
        <v>1524.3825501014553</v>
      </c>
      <c r="F14" s="27">
        <v>669.1086407825665</v>
      </c>
      <c r="G14" s="27">
        <v>1216.825751109449</v>
      </c>
      <c r="H14" s="27">
        <v>859.3089341841752</v>
      </c>
      <c r="I14" s="27">
        <v>458.11153015076763</v>
      </c>
      <c r="J14" s="27">
        <v>2572.9094143696507</v>
      </c>
      <c r="K14" s="27">
        <v>9752.23870748116</v>
      </c>
    </row>
    <row r="15" spans="1:11" ht="12.75">
      <c r="A15" s="34"/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spans="1:11" ht="12.75">
      <c r="A16" s="32" t="s">
        <v>144</v>
      </c>
      <c r="B16" s="38"/>
      <c r="C16" s="38"/>
      <c r="D16" s="38"/>
      <c r="E16" s="38"/>
      <c r="F16" s="38"/>
      <c r="G16" s="38"/>
      <c r="H16" s="38"/>
      <c r="I16" s="38"/>
      <c r="J16" s="38"/>
      <c r="K16" s="39"/>
    </row>
    <row r="17" spans="1:11" ht="12.75">
      <c r="A17" s="32"/>
      <c r="B17" s="38"/>
      <c r="C17" s="38"/>
      <c r="D17" s="38"/>
      <c r="E17" s="38"/>
      <c r="F17" s="38"/>
      <c r="G17" s="38"/>
      <c r="H17" s="38"/>
      <c r="I17" s="38"/>
      <c r="J17" s="38"/>
      <c r="K17" s="39"/>
    </row>
    <row r="18" spans="1:11" ht="12.75">
      <c r="A18" s="34"/>
      <c r="B18" s="40" t="s">
        <v>0</v>
      </c>
      <c r="C18" s="40" t="s">
        <v>1</v>
      </c>
      <c r="D18" s="40" t="s">
        <v>2</v>
      </c>
      <c r="E18" s="40" t="s">
        <v>3</v>
      </c>
      <c r="F18" s="40" t="s">
        <v>4</v>
      </c>
      <c r="G18" s="40" t="s">
        <v>5</v>
      </c>
      <c r="H18" s="40" t="s">
        <v>6</v>
      </c>
      <c r="I18" s="40" t="s">
        <v>7</v>
      </c>
      <c r="J18" s="40" t="s">
        <v>8</v>
      </c>
      <c r="K18" s="40" t="s">
        <v>9</v>
      </c>
    </row>
    <row r="19" spans="1:11" ht="12.75">
      <c r="A19" s="34" t="s">
        <v>143</v>
      </c>
      <c r="B19" s="26">
        <v>522.5200929118904</v>
      </c>
      <c r="C19" s="26">
        <v>1048.3213843753354</v>
      </c>
      <c r="D19" s="26">
        <v>2960.0777418701123</v>
      </c>
      <c r="E19" s="26">
        <v>2584.495120784291</v>
      </c>
      <c r="F19" s="26">
        <v>1024.773117103871</v>
      </c>
      <c r="G19" s="26">
        <v>2221.7870627638695</v>
      </c>
      <c r="H19" s="26">
        <v>1352.849290286491</v>
      </c>
      <c r="I19" s="26">
        <v>720.7992780423234</v>
      </c>
      <c r="J19" s="26">
        <v>3394.7921594901827</v>
      </c>
      <c r="K19" s="27">
        <v>15830.415247628367</v>
      </c>
    </row>
    <row r="20" spans="1:11" ht="12.75">
      <c r="A20" s="34" t="s">
        <v>10</v>
      </c>
      <c r="B20" s="26">
        <v>9.542749899313145</v>
      </c>
      <c r="C20" s="26">
        <v>18.835921657164114</v>
      </c>
      <c r="D20" s="26">
        <v>53.65650907255523</v>
      </c>
      <c r="E20" s="26">
        <v>47.10814080759464</v>
      </c>
      <c r="F20" s="26">
        <v>18.2169892566019</v>
      </c>
      <c r="G20" s="26">
        <v>40.35526021801308</v>
      </c>
      <c r="H20" s="26">
        <v>24.66563020761544</v>
      </c>
      <c r="I20" s="26">
        <v>12.867039299678757</v>
      </c>
      <c r="J20" s="26">
        <v>59.42441571813217</v>
      </c>
      <c r="K20" s="27">
        <v>284.6726561366685</v>
      </c>
    </row>
    <row r="21" spans="1:11" ht="12.75">
      <c r="A21" s="36" t="s">
        <v>121</v>
      </c>
      <c r="B21" s="27">
        <v>532.0628428112035</v>
      </c>
      <c r="C21" s="27">
        <v>1067.1573060324995</v>
      </c>
      <c r="D21" s="27">
        <v>3013.7342509426676</v>
      </c>
      <c r="E21" s="27">
        <v>2631.6032615918857</v>
      </c>
      <c r="F21" s="27">
        <v>1042.990106360473</v>
      </c>
      <c r="G21" s="27">
        <v>2262.1423229818824</v>
      </c>
      <c r="H21" s="27">
        <v>1377.5149204941065</v>
      </c>
      <c r="I21" s="27">
        <v>733.6663173420021</v>
      </c>
      <c r="J21" s="27">
        <v>3454.2165752083147</v>
      </c>
      <c r="K21" s="27">
        <v>16115.087903765036</v>
      </c>
    </row>
    <row r="22" spans="1:11" ht="12.75">
      <c r="A22" s="36" t="s">
        <v>122</v>
      </c>
      <c r="B22" s="27">
        <v>-6.3759999999999994</v>
      </c>
      <c r="C22" s="27">
        <v>-12.324499999999999</v>
      </c>
      <c r="D22" s="27">
        <v>-37.304</v>
      </c>
      <c r="E22" s="27">
        <v>-37.457420000000006</v>
      </c>
      <c r="F22" s="27">
        <v>-9.2675</v>
      </c>
      <c r="G22" s="27">
        <v>-38.818234999999994</v>
      </c>
      <c r="H22" s="27">
        <v>-19.591</v>
      </c>
      <c r="I22" s="27">
        <v>-8.830200000000003</v>
      </c>
      <c r="J22" s="27">
        <v>-74.687</v>
      </c>
      <c r="K22" s="27">
        <v>-244.65585499999997</v>
      </c>
    </row>
    <row r="23" spans="1:11" ht="12.75">
      <c r="A23" s="36" t="s">
        <v>123</v>
      </c>
      <c r="B23" s="27">
        <v>525.6868428112035</v>
      </c>
      <c r="C23" s="27">
        <v>1054.8328060324995</v>
      </c>
      <c r="D23" s="27">
        <v>2976.4302509426675</v>
      </c>
      <c r="E23" s="27">
        <v>2594.1458415918855</v>
      </c>
      <c r="F23" s="27">
        <v>1033.722606360473</v>
      </c>
      <c r="G23" s="27">
        <v>2223.3240879818823</v>
      </c>
      <c r="H23" s="27">
        <v>1357.9239204941066</v>
      </c>
      <c r="I23" s="27">
        <v>724.8361173420021</v>
      </c>
      <c r="J23" s="27">
        <v>3379.529575208315</v>
      </c>
      <c r="K23" s="27">
        <v>15870.432048765037</v>
      </c>
    </row>
    <row r="24" spans="1:11" ht="12.75">
      <c r="A24" s="36" t="s">
        <v>12</v>
      </c>
      <c r="B24" s="26">
        <v>0</v>
      </c>
      <c r="C24" s="26">
        <v>0.719197</v>
      </c>
      <c r="D24" s="26">
        <v>0.807421</v>
      </c>
      <c r="E24" s="26">
        <v>0.555859</v>
      </c>
      <c r="F24" s="26">
        <v>0.716099</v>
      </c>
      <c r="G24" s="26">
        <v>0.086815</v>
      </c>
      <c r="H24" s="26">
        <v>1.464395</v>
      </c>
      <c r="I24" s="26">
        <v>2.751411</v>
      </c>
      <c r="J24" s="26">
        <v>2.8391379999999997</v>
      </c>
      <c r="K24" s="27">
        <v>9.940335</v>
      </c>
    </row>
    <row r="25" spans="1:11" ht="12.75">
      <c r="A25" s="32" t="s">
        <v>11</v>
      </c>
      <c r="B25" s="27">
        <v>525.6868428112035</v>
      </c>
      <c r="C25" s="27">
        <v>1055.5520030324994</v>
      </c>
      <c r="D25" s="27">
        <v>2977.2376719426675</v>
      </c>
      <c r="E25" s="27">
        <v>2594.7017005918856</v>
      </c>
      <c r="F25" s="27">
        <v>1034.438705360473</v>
      </c>
      <c r="G25" s="27">
        <v>2223.4109029818824</v>
      </c>
      <c r="H25" s="27">
        <v>1359.3883154941066</v>
      </c>
      <c r="I25" s="27">
        <v>727.5875283420021</v>
      </c>
      <c r="J25" s="27">
        <v>3382.3687132083146</v>
      </c>
      <c r="K25" s="27">
        <v>15880.372383765036</v>
      </c>
    </row>
    <row r="26" spans="1:11" ht="12.75">
      <c r="A26" s="32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2.75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32" t="s">
        <v>148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12.75">
      <c r="A29" s="34"/>
      <c r="B29" s="99" t="s">
        <v>0</v>
      </c>
      <c r="C29" s="99" t="s">
        <v>1</v>
      </c>
      <c r="D29" s="99" t="s">
        <v>2</v>
      </c>
      <c r="E29" s="99" t="s">
        <v>3</v>
      </c>
      <c r="F29" s="99" t="s">
        <v>4</v>
      </c>
      <c r="G29" s="99" t="s">
        <v>5</v>
      </c>
      <c r="H29" s="99" t="s">
        <v>6</v>
      </c>
      <c r="I29" s="99" t="s">
        <v>7</v>
      </c>
      <c r="J29" s="99" t="s">
        <v>8</v>
      </c>
      <c r="K29" s="99" t="s">
        <v>9</v>
      </c>
    </row>
    <row r="30" spans="1:12" ht="12.75">
      <c r="A30" s="34" t="s">
        <v>146</v>
      </c>
      <c r="B30" s="26">
        <v>17.296167119900844</v>
      </c>
      <c r="C30" s="26">
        <v>43.07274531657361</v>
      </c>
      <c r="D30" s="26">
        <v>100.82452240723043</v>
      </c>
      <c r="E30" s="26">
        <v>98.89274803903497</v>
      </c>
      <c r="F30" s="26">
        <v>41.6382008805662</v>
      </c>
      <c r="G30" s="26">
        <v>87.7291415065052</v>
      </c>
      <c r="H30" s="26">
        <v>68.40681787818453</v>
      </c>
      <c r="I30" s="26">
        <v>24.040865400764137</v>
      </c>
      <c r="J30" s="26">
        <v>167.69781738648774</v>
      </c>
      <c r="K30" s="26">
        <v>649.5990259352477</v>
      </c>
      <c r="L30" s="45"/>
    </row>
    <row r="31" spans="1:12" ht="12.75">
      <c r="A31" s="34" t="s">
        <v>149</v>
      </c>
      <c r="B31" s="26">
        <v>4.242025188790692</v>
      </c>
      <c r="C31" s="26">
        <v>11.375290718152957</v>
      </c>
      <c r="D31" s="26">
        <v>23.83417807278938</v>
      </c>
      <c r="E31" s="26">
        <v>22.5823518215094</v>
      </c>
      <c r="F31" s="26">
        <v>10.603413662027744</v>
      </c>
      <c r="G31" s="26">
        <v>21.24970938272912</v>
      </c>
      <c r="H31" s="26">
        <v>13.164792012802222</v>
      </c>
      <c r="I31" s="26">
        <v>6.130485080379083</v>
      </c>
      <c r="J31" s="26">
        <v>51.74874895936888</v>
      </c>
      <c r="K31" s="26">
        <v>164.9309948985495</v>
      </c>
      <c r="L31" s="45"/>
    </row>
    <row r="32" spans="1:12" ht="12.75">
      <c r="A32" s="34" t="s">
        <v>150</v>
      </c>
      <c r="B32" s="26">
        <v>6.270532561000573</v>
      </c>
      <c r="C32" s="26">
        <v>16.814876778079693</v>
      </c>
      <c r="D32" s="26">
        <v>35.23151867769023</v>
      </c>
      <c r="E32" s="26">
        <v>33.3810776925427</v>
      </c>
      <c r="F32" s="26">
        <v>15.67389340383852</v>
      </c>
      <c r="G32" s="26">
        <v>31.411174772912677</v>
      </c>
      <c r="H32" s="26">
        <v>19.46010532733537</v>
      </c>
      <c r="I32" s="26">
        <v>9.062041030030763</v>
      </c>
      <c r="J32" s="26">
        <v>76.49464604741601</v>
      </c>
      <c r="K32" s="26">
        <v>243.79986629084658</v>
      </c>
      <c r="L32" s="45"/>
    </row>
    <row r="33" spans="1:12" ht="12.75">
      <c r="A33" s="34" t="s">
        <v>151</v>
      </c>
      <c r="B33" s="26">
        <v>0.1355743019116662</v>
      </c>
      <c r="C33" s="26">
        <v>0.8137502602461764</v>
      </c>
      <c r="D33" s="26">
        <v>1.0129429115436386</v>
      </c>
      <c r="E33" s="26">
        <v>2.9887743321297413</v>
      </c>
      <c r="F33" s="26">
        <v>3.718971690829901</v>
      </c>
      <c r="G33" s="26">
        <v>3.332198334632349</v>
      </c>
      <c r="H33" s="26">
        <v>2.9289965224075454</v>
      </c>
      <c r="I33" s="26">
        <v>3.50359448768784</v>
      </c>
      <c r="J33" s="26">
        <v>23.009048291175965</v>
      </c>
      <c r="K33" s="26">
        <v>41.443851132564824</v>
      </c>
      <c r="L33" s="45"/>
    </row>
    <row r="34" spans="1:12" ht="12.75">
      <c r="A34" s="34" t="s">
        <v>152</v>
      </c>
      <c r="B34" s="26"/>
      <c r="C34" s="26"/>
      <c r="D34" s="26"/>
      <c r="E34" s="26"/>
      <c r="F34" s="26"/>
      <c r="G34" s="26"/>
      <c r="H34" s="26"/>
      <c r="I34" s="26"/>
      <c r="J34" s="26"/>
      <c r="K34" s="26">
        <v>1.2753155339769446</v>
      </c>
      <c r="L34" s="45"/>
    </row>
    <row r="35" spans="1:12" ht="12.75">
      <c r="A35" s="34" t="s">
        <v>153</v>
      </c>
      <c r="B35" s="26">
        <v>0</v>
      </c>
      <c r="C35" s="26">
        <v>0</v>
      </c>
      <c r="D35" s="26">
        <v>0</v>
      </c>
      <c r="E35" s="26">
        <v>3.326551383485618</v>
      </c>
      <c r="F35" s="26">
        <v>3.039071634295503</v>
      </c>
      <c r="G35" s="26">
        <v>4.558607451443255</v>
      </c>
      <c r="H35" s="26">
        <v>3.572962597077145</v>
      </c>
      <c r="I35" s="26">
        <v>0</v>
      </c>
      <c r="J35" s="26">
        <v>26.57134253228636</v>
      </c>
      <c r="K35" s="26">
        <v>41.06853559858788</v>
      </c>
      <c r="L35" s="45"/>
    </row>
    <row r="36" spans="1:12" ht="12.75">
      <c r="A36" s="34" t="s">
        <v>154</v>
      </c>
      <c r="B36" s="26">
        <v>4.771576866169187</v>
      </c>
      <c r="C36" s="26">
        <v>7.672233642888084</v>
      </c>
      <c r="D36" s="26">
        <v>22.52510789469994</v>
      </c>
      <c r="E36" s="26">
        <v>19.762473563355446</v>
      </c>
      <c r="F36" s="26">
        <v>7.405408850669849</v>
      </c>
      <c r="G36" s="26">
        <v>16.80427051244806</v>
      </c>
      <c r="H36" s="26">
        <v>10.015043989391406</v>
      </c>
      <c r="I36" s="26">
        <v>5.206010894279537</v>
      </c>
      <c r="J36" s="26">
        <v>22.68087378609847</v>
      </c>
      <c r="K36" s="26">
        <f>SUM(B36:J36)</f>
        <v>116.84299999999998</v>
      </c>
      <c r="L36" s="45"/>
    </row>
    <row r="37" spans="1:12" ht="12.75">
      <c r="A37" s="34" t="s">
        <v>155</v>
      </c>
      <c r="B37" s="26">
        <v>0.17585437283498973</v>
      </c>
      <c r="C37" s="26">
        <v>2.2747828793597256</v>
      </c>
      <c r="D37" s="26">
        <v>2.1414546499792024</v>
      </c>
      <c r="E37" s="26">
        <v>3.333172405091424</v>
      </c>
      <c r="F37" s="26">
        <v>1.980909303603103</v>
      </c>
      <c r="G37" s="26">
        <v>4.443505350464224</v>
      </c>
      <c r="H37" s="26">
        <v>1.64014898544693</v>
      </c>
      <c r="I37" s="26">
        <v>0.010172053220403923</v>
      </c>
      <c r="J37" s="26">
        <v>0</v>
      </c>
      <c r="K37" s="26">
        <f>SUM(B37:J37)</f>
        <v>16</v>
      </c>
      <c r="L37" s="45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45"/>
    </row>
    <row r="39" spans="1:12" ht="12.75">
      <c r="A39" s="34" t="s">
        <v>184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45"/>
    </row>
    <row r="40" spans="1:12" ht="12.75">
      <c r="A40" s="34" t="s">
        <v>156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45"/>
    </row>
    <row r="41" spans="1:12" ht="12.75">
      <c r="A41" s="34" t="s">
        <v>157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45"/>
    </row>
    <row r="42" spans="1:11" ht="12.75">
      <c r="A42" s="33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ht="12.75">
      <c r="A44" s="51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2.75">
      <c r="A45" s="41" t="s">
        <v>15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12.75">
      <c r="A47" s="41" t="s">
        <v>16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ht="12.75">
      <c r="A48" s="34" t="s">
        <v>14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ht="12.75">
      <c r="A49" s="34"/>
      <c r="B49" s="35" t="s">
        <v>0</v>
      </c>
      <c r="C49" s="35" t="s">
        <v>1</v>
      </c>
      <c r="D49" s="35" t="s">
        <v>2</v>
      </c>
      <c r="E49" s="35" t="s">
        <v>3</v>
      </c>
      <c r="F49" s="35" t="s">
        <v>4</v>
      </c>
      <c r="G49" s="35" t="s">
        <v>5</v>
      </c>
      <c r="H49" s="35" t="s">
        <v>6</v>
      </c>
      <c r="I49" s="35" t="s">
        <v>7</v>
      </c>
      <c r="J49" s="35" t="s">
        <v>8</v>
      </c>
      <c r="K49" s="35" t="s">
        <v>9</v>
      </c>
    </row>
    <row r="50" spans="1:11" ht="12.75">
      <c r="A50" s="34" t="s">
        <v>145</v>
      </c>
      <c r="B50" s="42">
        <v>12.156909696222204</v>
      </c>
      <c r="C50" s="42">
        <v>41.23157875413328</v>
      </c>
      <c r="D50" s="42">
        <v>73.69368213059249</v>
      </c>
      <c r="E50" s="42">
        <v>70.79155358834066</v>
      </c>
      <c r="F50" s="42">
        <v>45.74492247368883</v>
      </c>
      <c r="G50" s="42">
        <v>63.507113886133276</v>
      </c>
      <c r="H50" s="42">
        <v>70.42757425611843</v>
      </c>
      <c r="I50" s="42">
        <v>23.348060897614786</v>
      </c>
      <c r="J50" s="42">
        <v>84.40438061345175</v>
      </c>
      <c r="K50" s="37">
        <v>485.3057762962957</v>
      </c>
    </row>
    <row r="51" spans="1:11" ht="12.75">
      <c r="A51" s="34" t="s">
        <v>10</v>
      </c>
      <c r="B51" s="42">
        <v>-0.006890311284574636</v>
      </c>
      <c r="C51" s="42">
        <v>-0.023369295278942444</v>
      </c>
      <c r="D51" s="42">
        <v>-0.04176821431388089</v>
      </c>
      <c r="E51" s="42">
        <v>-0.040123341600046845</v>
      </c>
      <c r="F51" s="42">
        <v>-0.025927374917519046</v>
      </c>
      <c r="G51" s="42">
        <v>-0.03599465607583261</v>
      </c>
      <c r="H51" s="42">
        <v>-0.0399170448549994</v>
      </c>
      <c r="I51" s="42">
        <v>-0.013233248538956105</v>
      </c>
      <c r="J51" s="42">
        <v>-0.04783883986480941</v>
      </c>
      <c r="K51" s="37">
        <v>-0.27506232672956143</v>
      </c>
    </row>
    <row r="52" spans="1:11" ht="12.75">
      <c r="A52" s="43" t="s">
        <v>11</v>
      </c>
      <c r="B52" s="37">
        <v>12.150019384937629</v>
      </c>
      <c r="C52" s="37">
        <v>41.20820945885434</v>
      </c>
      <c r="D52" s="37">
        <v>73.65191391627862</v>
      </c>
      <c r="E52" s="37">
        <v>70.75143024674061</v>
      </c>
      <c r="F52" s="37">
        <v>45.71899509877131</v>
      </c>
      <c r="G52" s="37">
        <v>63.47111923005744</v>
      </c>
      <c r="H52" s="37">
        <v>70.38765721126343</v>
      </c>
      <c r="I52" s="37">
        <v>23.33482764907583</v>
      </c>
      <c r="J52" s="37">
        <v>84.35654177358694</v>
      </c>
      <c r="K52" s="37">
        <v>485.03071396956614</v>
      </c>
    </row>
    <row r="53" spans="1:11" ht="12.75">
      <c r="A53" s="33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2.75">
      <c r="A54" s="41" t="s">
        <v>17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2.75">
      <c r="A55" s="34" t="s">
        <v>14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2.75">
      <c r="A56" s="34"/>
      <c r="B56" s="40" t="s">
        <v>0</v>
      </c>
      <c r="C56" s="40" t="s">
        <v>1</v>
      </c>
      <c r="D56" s="40" t="s">
        <v>2</v>
      </c>
      <c r="E56" s="40" t="s">
        <v>3</v>
      </c>
      <c r="F56" s="40" t="s">
        <v>4</v>
      </c>
      <c r="G56" s="40" t="s">
        <v>5</v>
      </c>
      <c r="H56" s="40" t="s">
        <v>6</v>
      </c>
      <c r="I56" s="40" t="s">
        <v>7</v>
      </c>
      <c r="J56" s="40" t="s">
        <v>8</v>
      </c>
      <c r="K56" s="40" t="s">
        <v>9</v>
      </c>
    </row>
    <row r="57" spans="1:11" ht="12.75">
      <c r="A57" s="34" t="s">
        <v>145</v>
      </c>
      <c r="B57" s="42">
        <v>0.06951453914593794</v>
      </c>
      <c r="C57" s="42">
        <v>0.6002992829636505</v>
      </c>
      <c r="D57" s="42">
        <v>8.524956745600575</v>
      </c>
      <c r="E57" s="42">
        <v>4.269842201099647</v>
      </c>
      <c r="F57" s="42">
        <v>2.9084176251143705</v>
      </c>
      <c r="G57" s="42">
        <v>1.460983534592594</v>
      </c>
      <c r="H57" s="42">
        <v>0.6344674462726707</v>
      </c>
      <c r="I57" s="42">
        <v>0.4695176923670555</v>
      </c>
      <c r="J57" s="42">
        <v>39.972627327706164</v>
      </c>
      <c r="K57" s="42">
        <v>58.91062639486266</v>
      </c>
    </row>
    <row r="58" spans="1:11" ht="12.75">
      <c r="A58" s="34" t="s">
        <v>10</v>
      </c>
      <c r="B58" s="42">
        <v>-0.0002579353246541558</v>
      </c>
      <c r="C58" s="42">
        <v>-0.0022274245408694924</v>
      </c>
      <c r="D58" s="42">
        <v>-0.03163205155144442</v>
      </c>
      <c r="E58" s="42">
        <v>-0.01584334943299564</v>
      </c>
      <c r="F58" s="42">
        <v>-0.010791751676420517</v>
      </c>
      <c r="G58" s="42">
        <v>-0.005421013602901439</v>
      </c>
      <c r="H58" s="42">
        <v>-0.0023542063106148136</v>
      </c>
      <c r="I58" s="42">
        <v>-0.0017421563877065296</v>
      </c>
      <c r="J58" s="42">
        <v>-0.14831936935388512</v>
      </c>
      <c r="K58" s="42">
        <v>-0.2185892581814921</v>
      </c>
    </row>
    <row r="59" spans="1:11" ht="12.75">
      <c r="A59" s="43" t="s">
        <v>11</v>
      </c>
      <c r="B59" s="37">
        <v>0.06925660382128379</v>
      </c>
      <c r="C59" s="37">
        <v>0.5980718584227811</v>
      </c>
      <c r="D59" s="37">
        <v>8.49332469404913</v>
      </c>
      <c r="E59" s="37">
        <v>4.253998851666651</v>
      </c>
      <c r="F59" s="37">
        <v>2.89762587343795</v>
      </c>
      <c r="G59" s="37">
        <v>1.4555625209896925</v>
      </c>
      <c r="H59" s="37">
        <v>0.6321132399620559</v>
      </c>
      <c r="I59" s="37">
        <v>0.46777553597934896</v>
      </c>
      <c r="J59" s="37">
        <v>39.82430795835228</v>
      </c>
      <c r="K59" s="37">
        <v>58.69203713668117</v>
      </c>
    </row>
    <row r="60" spans="1:11" ht="12.75">
      <c r="A60" s="33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12.75">
      <c r="A61" s="41" t="s">
        <v>18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12.75">
      <c r="A62" s="34" t="s">
        <v>14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2.75">
      <c r="A63" s="34"/>
      <c r="B63" s="40" t="s">
        <v>0</v>
      </c>
      <c r="C63" s="40" t="s">
        <v>1</v>
      </c>
      <c r="D63" s="40" t="s">
        <v>2</v>
      </c>
      <c r="E63" s="40" t="s">
        <v>3</v>
      </c>
      <c r="F63" s="40" t="s">
        <v>4</v>
      </c>
      <c r="G63" s="40" t="s">
        <v>5</v>
      </c>
      <c r="H63" s="40" t="s">
        <v>6</v>
      </c>
      <c r="I63" s="40" t="s">
        <v>7</v>
      </c>
      <c r="J63" s="40" t="s">
        <v>8</v>
      </c>
      <c r="K63" s="40" t="s">
        <v>9</v>
      </c>
    </row>
    <row r="64" spans="1:11" ht="12.75">
      <c r="A64" s="34" t="s">
        <v>145</v>
      </c>
      <c r="B64" s="42">
        <v>1.3202775872188222</v>
      </c>
      <c r="C64" s="42">
        <v>2.5526487116592436</v>
      </c>
      <c r="D64" s="42">
        <v>7.494451837513965</v>
      </c>
      <c r="E64" s="42">
        <v>6.57528526690069</v>
      </c>
      <c r="F64" s="42">
        <v>2.4638950569859683</v>
      </c>
      <c r="G64" s="42">
        <v>5.59102230285155</v>
      </c>
      <c r="H64" s="42">
        <v>3.332179740334662</v>
      </c>
      <c r="I64" s="42">
        <v>1.7321273335188592</v>
      </c>
      <c r="J64" s="42">
        <v>8.211863092924691</v>
      </c>
      <c r="K64" s="42">
        <v>39.27375092990845</v>
      </c>
    </row>
    <row r="65" spans="1:11" ht="12.75">
      <c r="A65" s="34" t="s">
        <v>10</v>
      </c>
      <c r="B65" s="42">
        <v>-0.004928598881406742</v>
      </c>
      <c r="C65" s="42">
        <v>-0.009531944869018389</v>
      </c>
      <c r="D65" s="42">
        <v>-0.027867063073843384</v>
      </c>
      <c r="E65" s="42">
        <v>-0.024429713820935832</v>
      </c>
      <c r="F65" s="42">
        <v>-0.009155806382013453</v>
      </c>
      <c r="G65" s="42">
        <v>-0.0208299181409202</v>
      </c>
      <c r="H65" s="42">
        <v>-0.01235168909355707</v>
      </c>
      <c r="I65" s="42">
        <v>-0.006426894998723128</v>
      </c>
      <c r="J65" s="42">
        <v>-0.03020454286058066</v>
      </c>
      <c r="K65" s="42">
        <v>-0.14572617212099884</v>
      </c>
    </row>
    <row r="66" spans="1:11" ht="12.75">
      <c r="A66" s="43" t="s">
        <v>11</v>
      </c>
      <c r="B66" s="37">
        <v>1.3153489883374154</v>
      </c>
      <c r="C66" s="37">
        <v>2.543116766790225</v>
      </c>
      <c r="D66" s="37">
        <v>7.466584774440121</v>
      </c>
      <c r="E66" s="37">
        <v>6.550855553079754</v>
      </c>
      <c r="F66" s="37">
        <v>2.454739250603955</v>
      </c>
      <c r="G66" s="37">
        <v>5.570192384710629</v>
      </c>
      <c r="H66" s="37">
        <v>3.319828051241105</v>
      </c>
      <c r="I66" s="37">
        <v>1.725700438520136</v>
      </c>
      <c r="J66" s="37">
        <v>8.18165855006411</v>
      </c>
      <c r="K66" s="37">
        <v>39.12802475778744</v>
      </c>
    </row>
    <row r="68" spans="1:11" ht="12.75">
      <c r="A68" s="41" t="s">
        <v>172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 t="s">
        <v>14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33" t="s">
        <v>62</v>
      </c>
      <c r="B70" s="33"/>
      <c r="C70" s="33"/>
      <c r="D70" s="54">
        <v>0.04603469987622533</v>
      </c>
      <c r="E70" s="33"/>
      <c r="F70" s="33"/>
      <c r="G70" s="33"/>
      <c r="H70" s="33"/>
      <c r="I70" s="33"/>
      <c r="J70" s="33"/>
      <c r="K70" s="33"/>
    </row>
    <row r="71" spans="1:11" ht="12.75">
      <c r="A71" s="33"/>
      <c r="B71" s="40" t="s">
        <v>0</v>
      </c>
      <c r="C71" s="40" t="s">
        <v>1</v>
      </c>
      <c r="D71" s="40" t="s">
        <v>2</v>
      </c>
      <c r="E71" s="40" t="s">
        <v>3</v>
      </c>
      <c r="F71" s="40" t="s">
        <v>4</v>
      </c>
      <c r="G71" s="40" t="s">
        <v>5</v>
      </c>
      <c r="H71" s="40" t="s">
        <v>6</v>
      </c>
      <c r="I71" s="40" t="s">
        <v>7</v>
      </c>
      <c r="J71" s="40" t="s">
        <v>8</v>
      </c>
      <c r="K71" s="40" t="s">
        <v>9</v>
      </c>
    </row>
    <row r="72" spans="1:11" s="45" customFormat="1" ht="12.75">
      <c r="A72" s="51" t="s">
        <v>171</v>
      </c>
      <c r="B72" s="42">
        <v>5.086015519999999</v>
      </c>
      <c r="C72" s="42">
        <v>25.181150870000007</v>
      </c>
      <c r="D72" s="42">
        <v>58.09886936714289</v>
      </c>
      <c r="E72" s="42">
        <v>55.97526158571422</v>
      </c>
      <c r="F72" s="42">
        <v>25.633999701428568</v>
      </c>
      <c r="G72" s="42">
        <v>52.84904951714282</v>
      </c>
      <c r="H72" s="42">
        <v>28.168259418571413</v>
      </c>
      <c r="I72" s="42">
        <v>20.146076077142858</v>
      </c>
      <c r="J72" s="42">
        <v>0</v>
      </c>
      <c r="K72" s="42">
        <v>271.1386820571428</v>
      </c>
    </row>
    <row r="73" spans="1:11" ht="12.75">
      <c r="A73" s="51"/>
      <c r="B73" s="42"/>
      <c r="C73" s="42"/>
      <c r="D73" s="42"/>
      <c r="E73" s="42"/>
      <c r="F73" s="42"/>
      <c r="G73" s="42"/>
      <c r="H73" s="42"/>
      <c r="I73" s="42"/>
      <c r="J73" s="42"/>
      <c r="K73" s="42"/>
    </row>
  </sheetData>
  <sheetProtection/>
  <printOptions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00390625" style="30" customWidth="1"/>
    <col min="2" max="10" width="8.57421875" style="30" customWidth="1"/>
    <col min="11" max="11" width="9.140625" style="30" bestFit="1" customWidth="1"/>
    <col min="12" max="16384" width="11.421875" style="30" customWidth="1"/>
  </cols>
  <sheetData>
    <row r="1" ht="15.75">
      <c r="A1" s="29" t="s">
        <v>192</v>
      </c>
    </row>
    <row r="2" ht="12.75">
      <c r="A2" s="50"/>
    </row>
    <row r="5" spans="1:11" ht="12.75">
      <c r="A5" s="32" t="s">
        <v>159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34"/>
      <c r="B7" s="35" t="s">
        <v>0</v>
      </c>
      <c r="C7" s="35" t="s">
        <v>1</v>
      </c>
      <c r="D7" s="35" t="s">
        <v>2</v>
      </c>
      <c r="E7" s="35" t="s">
        <v>3</v>
      </c>
      <c r="F7" s="35" t="s">
        <v>4</v>
      </c>
      <c r="G7" s="35" t="s">
        <v>5</v>
      </c>
      <c r="H7" s="35" t="s">
        <v>6</v>
      </c>
      <c r="I7" s="35" t="s">
        <v>7</v>
      </c>
      <c r="J7" s="35" t="s">
        <v>8</v>
      </c>
      <c r="K7" s="35" t="s">
        <v>9</v>
      </c>
    </row>
    <row r="8" spans="1:11" ht="12.75">
      <c r="A8" s="34" t="s">
        <v>160</v>
      </c>
      <c r="B8" s="26">
        <v>260.3221434667812</v>
      </c>
      <c r="C8" s="26">
        <v>618.2929013242641</v>
      </c>
      <c r="D8" s="26">
        <v>1668.8184743676043</v>
      </c>
      <c r="E8" s="26">
        <v>1571.1117165303226</v>
      </c>
      <c r="F8" s="26">
        <v>687.2036190630732</v>
      </c>
      <c r="G8" s="26">
        <v>1267.067719685382</v>
      </c>
      <c r="H8" s="26">
        <v>878.0048321922</v>
      </c>
      <c r="I8" s="26">
        <v>470.18142902397983</v>
      </c>
      <c r="J8" s="26">
        <v>2608.149072821551</v>
      </c>
      <c r="K8" s="27">
        <v>10029.151908475156</v>
      </c>
    </row>
    <row r="9" spans="1:11" ht="12.75">
      <c r="A9" s="34" t="s">
        <v>10</v>
      </c>
      <c r="B9" s="26">
        <v>-0.8552581966130529</v>
      </c>
      <c r="C9" s="26">
        <v>-2.8718669445379637</v>
      </c>
      <c r="D9" s="26">
        <v>-7.928969116595341</v>
      </c>
      <c r="E9" s="26">
        <v>-7.724746020216029</v>
      </c>
      <c r="F9" s="26">
        <v>-4.465130428055302</v>
      </c>
      <c r="G9" s="26">
        <v>-5.9348428859496485</v>
      </c>
      <c r="H9" s="26">
        <v>-5.956695569723262</v>
      </c>
      <c r="I9" s="26">
        <v>-2.4592239314105244</v>
      </c>
      <c r="J9" s="26">
        <v>-13.991275209923275</v>
      </c>
      <c r="K9" s="27">
        <v>-52.1880083030244</v>
      </c>
    </row>
    <row r="10" spans="1:11" ht="12.75">
      <c r="A10" s="36" t="s">
        <v>121</v>
      </c>
      <c r="B10" s="27">
        <v>259.4668852701681</v>
      </c>
      <c r="C10" s="27">
        <v>615.4210343797262</v>
      </c>
      <c r="D10" s="27">
        <v>1660.8895052510088</v>
      </c>
      <c r="E10" s="27">
        <v>1563.3869705101065</v>
      </c>
      <c r="F10" s="27">
        <v>682.7384886350179</v>
      </c>
      <c r="G10" s="27">
        <v>1261.1328767994323</v>
      </c>
      <c r="H10" s="27">
        <v>872.0481366224767</v>
      </c>
      <c r="I10" s="27">
        <v>467.7222050925693</v>
      </c>
      <c r="J10" s="27">
        <v>2594.1577976116278</v>
      </c>
      <c r="K10" s="27">
        <v>9976.963900172132</v>
      </c>
    </row>
    <row r="11" spans="1:11" ht="12.75">
      <c r="A11" s="36" t="s">
        <v>122</v>
      </c>
      <c r="B11" s="27">
        <v>-6.3759999999999994</v>
      </c>
      <c r="C11" s="27">
        <v>-12.324499999999999</v>
      </c>
      <c r="D11" s="27">
        <v>-35.492000000000004</v>
      </c>
      <c r="E11" s="27">
        <v>-19.788580000000003</v>
      </c>
      <c r="F11" s="27">
        <v>-9.2675</v>
      </c>
      <c r="G11" s="27">
        <v>-27.473764999999997</v>
      </c>
      <c r="H11" s="27">
        <v>-10.549</v>
      </c>
      <c r="I11" s="27">
        <v>-5.8868</v>
      </c>
      <c r="J11" s="27">
        <v>0</v>
      </c>
      <c r="K11" s="27">
        <v>-127.15814499999999</v>
      </c>
    </row>
    <row r="12" spans="1:11" ht="12.75">
      <c r="A12" s="36" t="s">
        <v>123</v>
      </c>
      <c r="B12" s="27">
        <v>253.09088527016812</v>
      </c>
      <c r="C12" s="27">
        <v>603.0965343797262</v>
      </c>
      <c r="D12" s="27">
        <v>1625.3975052510089</v>
      </c>
      <c r="E12" s="27">
        <v>1543.5983905101066</v>
      </c>
      <c r="F12" s="27">
        <v>673.4709886350179</v>
      </c>
      <c r="G12" s="27">
        <v>1233.6591117994324</v>
      </c>
      <c r="H12" s="27">
        <v>861.4991366224767</v>
      </c>
      <c r="I12" s="27">
        <v>461.8354050925693</v>
      </c>
      <c r="J12" s="27">
        <v>2594.1577976116278</v>
      </c>
      <c r="K12" s="27">
        <v>9849.805755172132</v>
      </c>
    </row>
    <row r="13" spans="1:11" ht="12.75">
      <c r="A13" s="36" t="s">
        <v>12</v>
      </c>
      <c r="B13" s="26">
        <v>0</v>
      </c>
      <c r="C13" s="26">
        <v>0.955448</v>
      </c>
      <c r="D13" s="26">
        <v>1.041369</v>
      </c>
      <c r="E13" s="26">
        <v>0.800819</v>
      </c>
      <c r="F13" s="26">
        <v>1.0071649999999999</v>
      </c>
      <c r="G13" s="26">
        <v>0.353896</v>
      </c>
      <c r="H13" s="26">
        <v>2.206445</v>
      </c>
      <c r="I13" s="26">
        <v>3.0954639999999998</v>
      </c>
      <c r="J13" s="26">
        <v>2.9752620000000003</v>
      </c>
      <c r="K13" s="27">
        <v>12.435868</v>
      </c>
    </row>
    <row r="14" spans="1:11" ht="12.75">
      <c r="A14" s="32" t="s">
        <v>11</v>
      </c>
      <c r="B14" s="27">
        <v>253.09088527016812</v>
      </c>
      <c r="C14" s="27">
        <v>604.0519823797263</v>
      </c>
      <c r="D14" s="27">
        <v>1626.4388742510089</v>
      </c>
      <c r="E14" s="27">
        <v>1544.3992095101066</v>
      </c>
      <c r="F14" s="27">
        <v>674.4781536350179</v>
      </c>
      <c r="G14" s="27">
        <v>1234.0130077994324</v>
      </c>
      <c r="H14" s="27">
        <v>863.7055816224768</v>
      </c>
      <c r="I14" s="27">
        <v>464.9308690925693</v>
      </c>
      <c r="J14" s="27">
        <v>2597.1330596116277</v>
      </c>
      <c r="K14" s="27">
        <v>9862.241623172133</v>
      </c>
    </row>
    <row r="15" spans="1:11" ht="12.75">
      <c r="A15" s="34"/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spans="1:11" ht="12.75">
      <c r="A16" s="32" t="s">
        <v>161</v>
      </c>
      <c r="B16" s="38"/>
      <c r="C16" s="38"/>
      <c r="D16" s="38"/>
      <c r="E16" s="38"/>
      <c r="F16" s="38"/>
      <c r="G16" s="38"/>
      <c r="H16" s="38"/>
      <c r="I16" s="38"/>
      <c r="J16" s="38"/>
      <c r="K16" s="39"/>
    </row>
    <row r="17" spans="1:11" ht="12.75">
      <c r="A17" s="32"/>
      <c r="B17" s="38"/>
      <c r="C17" s="38"/>
      <c r="D17" s="38"/>
      <c r="E17" s="38"/>
      <c r="F17" s="38"/>
      <c r="G17" s="38"/>
      <c r="H17" s="38"/>
      <c r="I17" s="38"/>
      <c r="J17" s="38"/>
      <c r="K17" s="39"/>
    </row>
    <row r="18" spans="1:11" ht="12.75">
      <c r="A18" s="34"/>
      <c r="B18" s="40" t="s">
        <v>0</v>
      </c>
      <c r="C18" s="40" t="s">
        <v>1</v>
      </c>
      <c r="D18" s="40" t="s">
        <v>2</v>
      </c>
      <c r="E18" s="40" t="s">
        <v>3</v>
      </c>
      <c r="F18" s="40" t="s">
        <v>4</v>
      </c>
      <c r="G18" s="40" t="s">
        <v>5</v>
      </c>
      <c r="H18" s="40" t="s">
        <v>6</v>
      </c>
      <c r="I18" s="40" t="s">
        <v>7</v>
      </c>
      <c r="J18" s="40" t="s">
        <v>8</v>
      </c>
      <c r="K18" s="40" t="s">
        <v>9</v>
      </c>
    </row>
    <row r="19" spans="1:11" ht="12.75">
      <c r="A19" s="34" t="s">
        <v>160</v>
      </c>
      <c r="B19" s="26">
        <v>537.9192960553445</v>
      </c>
      <c r="C19" s="26">
        <v>1078.728143184324</v>
      </c>
      <c r="D19" s="26">
        <v>3046.8990673630647</v>
      </c>
      <c r="E19" s="26">
        <v>2661.001989840657</v>
      </c>
      <c r="F19" s="26">
        <v>1054.422494320567</v>
      </c>
      <c r="G19" s="26">
        <v>2287.1073054549274</v>
      </c>
      <c r="H19" s="26">
        <v>1392.0580412328948</v>
      </c>
      <c r="I19" s="26">
        <v>741.5491555319481</v>
      </c>
      <c r="J19" s="26">
        <v>3493.1978151393037</v>
      </c>
      <c r="K19" s="27">
        <v>16292.883308123031</v>
      </c>
    </row>
    <row r="20" spans="1:11" ht="12.75">
      <c r="A20" s="34" t="s">
        <v>10</v>
      </c>
      <c r="B20" s="26">
        <v>3.4235885721372323</v>
      </c>
      <c r="C20" s="26">
        <v>6.7454788715231695</v>
      </c>
      <c r="D20" s="26">
        <v>19.327987746677362</v>
      </c>
      <c r="E20" s="26">
        <v>17.02863360052463</v>
      </c>
      <c r="F20" s="26">
        <v>6.629937296373886</v>
      </c>
      <c r="G20" s="26">
        <v>14.453914454199374</v>
      </c>
      <c r="H20" s="26">
        <v>8.517802193626528</v>
      </c>
      <c r="I20" s="26">
        <v>4.592578423638246</v>
      </c>
      <c r="J20" s="26">
        <v>22.27543563843239</v>
      </c>
      <c r="K20" s="27">
        <v>102.99535679713281</v>
      </c>
    </row>
    <row r="21" spans="1:11" ht="12.75">
      <c r="A21" s="36" t="s">
        <v>121</v>
      </c>
      <c r="B21" s="27">
        <v>541.3428846274817</v>
      </c>
      <c r="C21" s="27">
        <v>1085.473622055847</v>
      </c>
      <c r="D21" s="27">
        <v>3066.227055109742</v>
      </c>
      <c r="E21" s="27">
        <v>2678.030623441182</v>
      </c>
      <c r="F21" s="27">
        <v>1061.0524316169408</v>
      </c>
      <c r="G21" s="27">
        <v>2301.561219909127</v>
      </c>
      <c r="H21" s="27">
        <v>1400.5758434265213</v>
      </c>
      <c r="I21" s="27">
        <v>746.1417339555863</v>
      </c>
      <c r="J21" s="27">
        <v>3515.473250777736</v>
      </c>
      <c r="K21" s="27">
        <v>16395.878664920165</v>
      </c>
    </row>
    <row r="22" spans="1:11" ht="12.75">
      <c r="A22" s="36" t="s">
        <v>122</v>
      </c>
      <c r="B22" s="27">
        <v>-6.3759999999999994</v>
      </c>
      <c r="C22" s="27">
        <v>-12.324499999999999</v>
      </c>
      <c r="D22" s="27">
        <v>-37.304</v>
      </c>
      <c r="E22" s="27">
        <v>-37.457420000000006</v>
      </c>
      <c r="F22" s="27">
        <v>-9.2675</v>
      </c>
      <c r="G22" s="27">
        <v>-38.818234999999994</v>
      </c>
      <c r="H22" s="27">
        <v>-19.591</v>
      </c>
      <c r="I22" s="27">
        <v>-8.830200000000003</v>
      </c>
      <c r="J22" s="27">
        <v>-74.687</v>
      </c>
      <c r="K22" s="27">
        <v>-244.65585499999997</v>
      </c>
    </row>
    <row r="23" spans="1:11" ht="12.75">
      <c r="A23" s="36" t="s">
        <v>123</v>
      </c>
      <c r="B23" s="27">
        <v>534.9668846274817</v>
      </c>
      <c r="C23" s="27">
        <v>1073.149122055847</v>
      </c>
      <c r="D23" s="27">
        <v>3028.923055109742</v>
      </c>
      <c r="E23" s="27">
        <v>2640.5732034411817</v>
      </c>
      <c r="F23" s="27">
        <v>1051.7849316169409</v>
      </c>
      <c r="G23" s="27">
        <v>2262.742984909127</v>
      </c>
      <c r="H23" s="27">
        <v>1380.9848434265214</v>
      </c>
      <c r="I23" s="27">
        <v>737.3115339555864</v>
      </c>
      <c r="J23" s="27">
        <v>3440.7862507777363</v>
      </c>
      <c r="K23" s="27">
        <v>16151.222809920164</v>
      </c>
    </row>
    <row r="24" spans="1:11" ht="12.75">
      <c r="A24" s="36" t="s">
        <v>12</v>
      </c>
      <c r="B24" s="26">
        <v>0</v>
      </c>
      <c r="C24" s="26">
        <v>0.720696</v>
      </c>
      <c r="D24" s="26">
        <v>0.811138</v>
      </c>
      <c r="E24" s="26">
        <v>0.5579270000000001</v>
      </c>
      <c r="F24" s="26">
        <v>0.718299</v>
      </c>
      <c r="G24" s="26">
        <v>0.087483</v>
      </c>
      <c r="H24" s="26">
        <v>1.467455</v>
      </c>
      <c r="I24" s="26">
        <v>2.757534</v>
      </c>
      <c r="J24" s="26">
        <v>2.846816</v>
      </c>
      <c r="K24" s="27">
        <v>9.967348000000001</v>
      </c>
    </row>
    <row r="25" spans="1:11" ht="12.75">
      <c r="A25" s="32" t="s">
        <v>11</v>
      </c>
      <c r="B25" s="27">
        <v>534.9668846274817</v>
      </c>
      <c r="C25" s="27">
        <v>1073.8698180558472</v>
      </c>
      <c r="D25" s="27">
        <v>3029.734193109742</v>
      </c>
      <c r="E25" s="27">
        <v>2641.1311304411815</v>
      </c>
      <c r="F25" s="27">
        <v>1052.5032306169408</v>
      </c>
      <c r="G25" s="27">
        <v>2262.8304679091266</v>
      </c>
      <c r="H25" s="27">
        <v>1382.4522984265213</v>
      </c>
      <c r="I25" s="27">
        <v>740.0690679555863</v>
      </c>
      <c r="J25" s="27">
        <v>3443.6330667777365</v>
      </c>
      <c r="K25" s="27">
        <v>16161.190157920164</v>
      </c>
    </row>
    <row r="26" spans="1:11" ht="12.75">
      <c r="A26" s="32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2.75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32" t="s">
        <v>148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12.75">
      <c r="A29" s="34"/>
      <c r="B29" s="99" t="s">
        <v>0</v>
      </c>
      <c r="C29" s="99" t="s">
        <v>1</v>
      </c>
      <c r="D29" s="99" t="s">
        <v>2</v>
      </c>
      <c r="E29" s="99" t="s">
        <v>3</v>
      </c>
      <c r="F29" s="99" t="s">
        <v>4</v>
      </c>
      <c r="G29" s="99" t="s">
        <v>5</v>
      </c>
      <c r="H29" s="99" t="s">
        <v>6</v>
      </c>
      <c r="I29" s="99" t="s">
        <v>7</v>
      </c>
      <c r="J29" s="99" t="s">
        <v>8</v>
      </c>
      <c r="K29" s="99" t="s">
        <v>9</v>
      </c>
    </row>
    <row r="30" spans="1:12" ht="12.75">
      <c r="A30" s="34" t="s">
        <v>146</v>
      </c>
      <c r="B30" s="26">
        <v>17.590755743918383</v>
      </c>
      <c r="C30" s="26">
        <v>43.84489229242378</v>
      </c>
      <c r="D30" s="26">
        <v>102.48846221206931</v>
      </c>
      <c r="E30" s="26">
        <v>100.4672391233239</v>
      </c>
      <c r="F30" s="26">
        <v>42.35521476386283</v>
      </c>
      <c r="G30" s="26">
        <v>89.18718820741775</v>
      </c>
      <c r="H30" s="26">
        <v>69.30540995081176</v>
      </c>
      <c r="I30" s="26">
        <v>24.461457767546445</v>
      </c>
      <c r="J30" s="26">
        <v>171.05884278078773</v>
      </c>
      <c r="K30" s="26">
        <v>660.7594628421618</v>
      </c>
      <c r="L30" s="45"/>
    </row>
    <row r="31" spans="1:12" ht="12.75">
      <c r="A31" s="34" t="s">
        <v>149</v>
      </c>
      <c r="B31" s="26">
        <v>4.53447832426197</v>
      </c>
      <c r="C31" s="26">
        <v>12.159524495503423</v>
      </c>
      <c r="D31" s="26">
        <v>25.477350802453234</v>
      </c>
      <c r="E31" s="26">
        <v>24.13922131251745</v>
      </c>
      <c r="F31" s="26">
        <v>11.334432794199147</v>
      </c>
      <c r="G31" s="26">
        <v>22.714704016248525</v>
      </c>
      <c r="H31" s="26">
        <v>14.072397350022959</v>
      </c>
      <c r="I31" s="26">
        <v>6.553132166128203</v>
      </c>
      <c r="J31" s="26">
        <v>55.31640431650216</v>
      </c>
      <c r="K31" s="26">
        <v>176.30164557783706</v>
      </c>
      <c r="L31" s="45"/>
    </row>
    <row r="32" spans="1:12" ht="12.75">
      <c r="A32" s="34" t="s">
        <v>150</v>
      </c>
      <c r="B32" s="26">
        <v>6.7028347815025064</v>
      </c>
      <c r="C32" s="26">
        <v>17.974125772948202</v>
      </c>
      <c r="D32" s="26">
        <v>37.66044534505937</v>
      </c>
      <c r="E32" s="26">
        <v>35.68243150401723</v>
      </c>
      <c r="F32" s="26">
        <v>16.75448087491431</v>
      </c>
      <c r="G32" s="26">
        <v>33.57671979971939</v>
      </c>
      <c r="H32" s="26">
        <v>20.801721316466953</v>
      </c>
      <c r="I32" s="26">
        <v>9.686795055538422</v>
      </c>
      <c r="J32" s="26">
        <v>81.76832974510987</v>
      </c>
      <c r="K32" s="26">
        <v>260.60788419527626</v>
      </c>
      <c r="L32" s="45"/>
    </row>
    <row r="33" spans="1:12" ht="12.75">
      <c r="A33" s="34" t="s">
        <v>151</v>
      </c>
      <c r="B33" s="26">
        <v>0.13778249853924598</v>
      </c>
      <c r="C33" s="26">
        <v>0.8270043987888817</v>
      </c>
      <c r="D33" s="26">
        <v>1.0294414447439708</v>
      </c>
      <c r="E33" s="26">
        <v>3.0374546595055443</v>
      </c>
      <c r="F33" s="26">
        <v>3.779545270261687</v>
      </c>
      <c r="G33" s="26">
        <v>3.3864722569111914</v>
      </c>
      <c r="H33" s="26">
        <v>2.9767032053981564</v>
      </c>
      <c r="I33" s="26">
        <v>3.56066006297039</v>
      </c>
      <c r="J33" s="26">
        <v>23.383813288111</v>
      </c>
      <c r="K33" s="26">
        <v>42.11887708523007</v>
      </c>
      <c r="L33" s="45"/>
    </row>
    <row r="34" spans="1:12" ht="12.75">
      <c r="A34" s="34" t="s">
        <v>152</v>
      </c>
      <c r="B34" s="26"/>
      <c r="C34" s="26"/>
      <c r="D34" s="26"/>
      <c r="E34" s="26"/>
      <c r="F34" s="26"/>
      <c r="G34" s="26"/>
      <c r="H34" s="26"/>
      <c r="I34" s="26"/>
      <c r="J34" s="26"/>
      <c r="K34" s="26">
        <v>1.2955663125569021</v>
      </c>
      <c r="L34" s="45"/>
    </row>
    <row r="35" spans="1:12" ht="12.75">
      <c r="A35" s="34" t="s">
        <v>153</v>
      </c>
      <c r="B35" s="26">
        <v>0</v>
      </c>
      <c r="C35" s="26">
        <v>0</v>
      </c>
      <c r="D35" s="26">
        <v>0</v>
      </c>
      <c r="E35" s="26">
        <v>3.379588172586526</v>
      </c>
      <c r="F35" s="26">
        <v>3.087524997177814</v>
      </c>
      <c r="G35" s="26">
        <v>4.6312874957667205</v>
      </c>
      <c r="H35" s="26">
        <v>3.629928037222565</v>
      </c>
      <c r="I35" s="26">
        <v>0</v>
      </c>
      <c r="J35" s="26">
        <v>26.994982069919537</v>
      </c>
      <c r="K35" s="26">
        <v>41.72331077267316</v>
      </c>
      <c r="L35" s="45"/>
    </row>
    <row r="36" spans="1:12" ht="12.75">
      <c r="A36" s="34" t="s">
        <v>154</v>
      </c>
      <c r="B36" s="26">
        <v>4.9992418357220325</v>
      </c>
      <c r="C36" s="26">
        <v>7.954500845025048</v>
      </c>
      <c r="D36" s="26">
        <v>23.354025644897423</v>
      </c>
      <c r="E36" s="26">
        <v>20.489741488105047</v>
      </c>
      <c r="F36" s="26">
        <v>7.677928899236734</v>
      </c>
      <c r="G36" s="26">
        <v>17.422605558474277</v>
      </c>
      <c r="H36" s="26">
        <v>10.383656176113007</v>
      </c>
      <c r="I36" s="26">
        <v>5.397612399714332</v>
      </c>
      <c r="J36" s="26">
        <v>23.589604873378782</v>
      </c>
      <c r="K36" s="26">
        <v>121.26891772066668</v>
      </c>
      <c r="L36" s="45"/>
    </row>
    <row r="37" spans="1:12" ht="12.75">
      <c r="A37" s="34" t="s">
        <v>155</v>
      </c>
      <c r="B37" s="26">
        <v>0.1758543728349897</v>
      </c>
      <c r="C37" s="26">
        <v>2.2747828793597256</v>
      </c>
      <c r="D37" s="26">
        <v>2.141454649979203</v>
      </c>
      <c r="E37" s="26">
        <v>3.333172405091424</v>
      </c>
      <c r="F37" s="26">
        <v>1.980909303603103</v>
      </c>
      <c r="G37" s="26">
        <v>4.443505350464224</v>
      </c>
      <c r="H37" s="26">
        <v>1.6401489854469298</v>
      </c>
      <c r="I37" s="26">
        <v>0.010172053220403923</v>
      </c>
      <c r="J37" s="26">
        <v>0</v>
      </c>
      <c r="K37" s="26">
        <v>16</v>
      </c>
      <c r="L37" s="45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45"/>
    </row>
    <row r="39" spans="1:12" ht="12.75">
      <c r="A39" s="34" t="s">
        <v>184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45"/>
    </row>
    <row r="40" spans="1:12" ht="12.75">
      <c r="A40" s="34" t="s">
        <v>156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45"/>
    </row>
    <row r="41" spans="1:12" ht="12.75">
      <c r="A41" s="34" t="s">
        <v>157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45"/>
    </row>
    <row r="42" spans="1:11" ht="12.75">
      <c r="A42" s="33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ht="12.75">
      <c r="A44" s="51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2.75">
      <c r="A45" s="41" t="s">
        <v>15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12.75">
      <c r="A47" s="41" t="s">
        <v>16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ht="12.75">
      <c r="A48" s="34" t="s">
        <v>14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ht="12.75">
      <c r="A49" s="34"/>
      <c r="B49" s="35" t="s">
        <v>0</v>
      </c>
      <c r="C49" s="35" t="s">
        <v>1</v>
      </c>
      <c r="D49" s="35" t="s">
        <v>2</v>
      </c>
      <c r="E49" s="35" t="s">
        <v>3</v>
      </c>
      <c r="F49" s="35" t="s">
        <v>4</v>
      </c>
      <c r="G49" s="35" t="s">
        <v>5</v>
      </c>
      <c r="H49" s="35" t="s">
        <v>6</v>
      </c>
      <c r="I49" s="35" t="s">
        <v>7</v>
      </c>
      <c r="J49" s="35" t="s">
        <v>8</v>
      </c>
      <c r="K49" s="35" t="s">
        <v>9</v>
      </c>
    </row>
    <row r="50" spans="1:11" ht="12.75">
      <c r="A50" s="34" t="s">
        <v>162</v>
      </c>
      <c r="B50" s="42">
        <v>12.753441299051584</v>
      </c>
      <c r="C50" s="42">
        <v>43.25478534001686</v>
      </c>
      <c r="D50" s="42">
        <v>77.30978288466999</v>
      </c>
      <c r="E50" s="42">
        <v>74.26524879411794</v>
      </c>
      <c r="F50" s="42">
        <v>47.98959588217973</v>
      </c>
      <c r="G50" s="42">
        <v>66.62336640294971</v>
      </c>
      <c r="H50" s="42">
        <v>73.88340923426611</v>
      </c>
      <c r="I50" s="42">
        <v>24.49373496596294</v>
      </c>
      <c r="J50" s="42">
        <v>88.5460483325769</v>
      </c>
      <c r="K50" s="37">
        <v>509.1194131357917</v>
      </c>
    </row>
    <row r="51" spans="1:11" ht="12.75">
      <c r="A51" s="34" t="s">
        <v>10</v>
      </c>
      <c r="B51" s="42">
        <v>0.23422310377779648</v>
      </c>
      <c r="C51" s="42">
        <v>0.7943950058667251</v>
      </c>
      <c r="D51" s="42">
        <v>1.419831469407509</v>
      </c>
      <c r="E51" s="42">
        <v>1.363917131659342</v>
      </c>
      <c r="F51" s="42">
        <v>0.8813520863111771</v>
      </c>
      <c r="G51" s="42">
        <v>1.223570273866746</v>
      </c>
      <c r="H51" s="42">
        <v>1.356904463881583</v>
      </c>
      <c r="I51" s="42">
        <v>0.449839262385216</v>
      </c>
      <c r="J51" s="42">
        <v>1.626190906548247</v>
      </c>
      <c r="K51" s="37">
        <v>9.35022370370434</v>
      </c>
    </row>
    <row r="52" spans="1:11" ht="12.75">
      <c r="A52" s="43" t="s">
        <v>11</v>
      </c>
      <c r="B52" s="37">
        <v>12.987664402829381</v>
      </c>
      <c r="C52" s="37">
        <v>44.049180345883585</v>
      </c>
      <c r="D52" s="37">
        <v>78.7296143540775</v>
      </c>
      <c r="E52" s="37">
        <v>75.62916592577727</v>
      </c>
      <c r="F52" s="37">
        <v>48.8709479684909</v>
      </c>
      <c r="G52" s="37">
        <v>67.84693667681645</v>
      </c>
      <c r="H52" s="37">
        <v>75.24031369814769</v>
      </c>
      <c r="I52" s="37">
        <v>24.943574228348155</v>
      </c>
      <c r="J52" s="37">
        <v>90.17223923912515</v>
      </c>
      <c r="K52" s="37">
        <v>518.4696368394962</v>
      </c>
    </row>
    <row r="53" spans="1:11" ht="12.75">
      <c r="A53" s="33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2.75">
      <c r="A54" s="41" t="s">
        <v>17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2.75">
      <c r="A55" s="34" t="s">
        <v>14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2.75">
      <c r="A56" s="34"/>
      <c r="B56" s="40" t="s">
        <v>0</v>
      </c>
      <c r="C56" s="40" t="s">
        <v>1</v>
      </c>
      <c r="D56" s="40" t="s">
        <v>2</v>
      </c>
      <c r="E56" s="40" t="s">
        <v>3</v>
      </c>
      <c r="F56" s="40" t="s">
        <v>4</v>
      </c>
      <c r="G56" s="40" t="s">
        <v>5</v>
      </c>
      <c r="H56" s="40" t="s">
        <v>6</v>
      </c>
      <c r="I56" s="40" t="s">
        <v>7</v>
      </c>
      <c r="J56" s="40" t="s">
        <v>8</v>
      </c>
      <c r="K56" s="40" t="s">
        <v>9</v>
      </c>
    </row>
    <row r="57" spans="1:11" ht="12.75">
      <c r="A57" s="34" t="s">
        <v>162</v>
      </c>
      <c r="B57" s="42">
        <v>0.06878070579607569</v>
      </c>
      <c r="C57" s="42">
        <v>0.5939621966627213</v>
      </c>
      <c r="D57" s="42">
        <v>8.434962657415348</v>
      </c>
      <c r="E57" s="42">
        <v>4.224767420423362</v>
      </c>
      <c r="F57" s="42">
        <v>2.8777147840273374</v>
      </c>
      <c r="G57" s="42">
        <v>1.4455605963920999</v>
      </c>
      <c r="H57" s="42">
        <v>0.6277696622235045</v>
      </c>
      <c r="I57" s="42">
        <v>0.46456120779213844</v>
      </c>
      <c r="J57" s="42">
        <v>39.55065449475529</v>
      </c>
      <c r="K57" s="42">
        <v>58.28873372548787</v>
      </c>
    </row>
    <row r="58" spans="1:11" ht="12.75">
      <c r="A58" s="34" t="s">
        <v>10</v>
      </c>
      <c r="B58" s="42">
        <v>-0.001823579545937946</v>
      </c>
      <c r="C58" s="42">
        <v>-0.01574769116365053</v>
      </c>
      <c r="D58" s="42">
        <v>-0.22363575940057673</v>
      </c>
      <c r="E58" s="42">
        <v>-0.1120110554996454</v>
      </c>
      <c r="F58" s="42">
        <v>-0.07629671371437007</v>
      </c>
      <c r="G58" s="42">
        <v>-0.03832607859259406</v>
      </c>
      <c r="H58" s="42">
        <v>-0.016644026872670793</v>
      </c>
      <c r="I58" s="42">
        <v>-0.012316888967055434</v>
      </c>
      <c r="J58" s="42">
        <v>-1.0486046011061698</v>
      </c>
      <c r="K58" s="42">
        <v>-1.5454063948626708</v>
      </c>
    </row>
    <row r="59" spans="1:11" ht="12.75">
      <c r="A59" s="43" t="s">
        <v>11</v>
      </c>
      <c r="B59" s="37">
        <v>0.06695712625013775</v>
      </c>
      <c r="C59" s="37">
        <v>0.5782145054990708</v>
      </c>
      <c r="D59" s="37">
        <v>8.211326898014772</v>
      </c>
      <c r="E59" s="37">
        <v>4.112756364923716</v>
      </c>
      <c r="F59" s="37">
        <v>2.8014180703129674</v>
      </c>
      <c r="G59" s="37">
        <v>1.4072345177995058</v>
      </c>
      <c r="H59" s="37">
        <v>0.6111256353508338</v>
      </c>
      <c r="I59" s="37">
        <v>0.452244318825083</v>
      </c>
      <c r="J59" s="37">
        <v>38.50204989364912</v>
      </c>
      <c r="K59" s="37">
        <v>56.74332733062521</v>
      </c>
    </row>
    <row r="60" spans="1:11" ht="12.75">
      <c r="A60" s="33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12.75">
      <c r="A61" s="41" t="s">
        <v>18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12.75">
      <c r="A62" s="34" t="s">
        <v>14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2.75">
      <c r="A63" s="34"/>
      <c r="B63" s="40" t="s">
        <v>0</v>
      </c>
      <c r="C63" s="40" t="s">
        <v>1</v>
      </c>
      <c r="D63" s="40" t="s">
        <v>2</v>
      </c>
      <c r="E63" s="40" t="s">
        <v>3</v>
      </c>
      <c r="F63" s="40" t="s">
        <v>4</v>
      </c>
      <c r="G63" s="40" t="s">
        <v>5</v>
      </c>
      <c r="H63" s="40" t="s">
        <v>6</v>
      </c>
      <c r="I63" s="40" t="s">
        <v>7</v>
      </c>
      <c r="J63" s="40" t="s">
        <v>8</v>
      </c>
      <c r="K63" s="40" t="s">
        <v>9</v>
      </c>
    </row>
    <row r="64" spans="1:11" ht="12.75">
      <c r="A64" s="34" t="s">
        <v>162</v>
      </c>
      <c r="B64" s="42">
        <v>1.306340017661714</v>
      </c>
      <c r="C64" s="42">
        <v>2.525701561061499</v>
      </c>
      <c r="D64" s="42">
        <v>7.415336320603777</v>
      </c>
      <c r="E64" s="42">
        <v>6.505872973113062</v>
      </c>
      <c r="F64" s="42">
        <v>2.437884838323925</v>
      </c>
      <c r="G64" s="42">
        <v>5.532000425183017</v>
      </c>
      <c r="H64" s="42">
        <v>3.2970034354747635</v>
      </c>
      <c r="I64" s="42">
        <v>1.7138420536456003</v>
      </c>
      <c r="J64" s="42">
        <v>8.125174191924573</v>
      </c>
      <c r="K64" s="42">
        <v>38.85915581699193</v>
      </c>
    </row>
    <row r="65" spans="1:11" ht="12.75">
      <c r="A65" s="34" t="s">
        <v>10</v>
      </c>
      <c r="B65" s="42">
        <v>-0.03463493008215141</v>
      </c>
      <c r="C65" s="42">
        <v>-0.06696380405794071</v>
      </c>
      <c r="D65" s="42">
        <v>-0.19660245535420837</v>
      </c>
      <c r="E65" s="42">
        <v>-0.17248989734729092</v>
      </c>
      <c r="F65" s="42">
        <v>-0.06463552351004546</v>
      </c>
      <c r="G65" s="42">
        <v>-0.14666966130579295</v>
      </c>
      <c r="H65" s="42">
        <v>-0.08741329357166797</v>
      </c>
      <c r="I65" s="42">
        <v>-0.04543901197034097</v>
      </c>
      <c r="J65" s="42">
        <v>-0.2154223527090071</v>
      </c>
      <c r="K65" s="42">
        <v>-1.0302709299084458</v>
      </c>
    </row>
    <row r="66" spans="1:11" ht="12.75">
      <c r="A66" s="43" t="s">
        <v>11</v>
      </c>
      <c r="B66" s="37">
        <v>1.2717050875795626</v>
      </c>
      <c r="C66" s="37">
        <v>2.4587377570035582</v>
      </c>
      <c r="D66" s="37">
        <v>7.218733865249569</v>
      </c>
      <c r="E66" s="37">
        <v>6.333383075765771</v>
      </c>
      <c r="F66" s="37">
        <v>2.3732493148138794</v>
      </c>
      <c r="G66" s="37">
        <v>5.385330763877224</v>
      </c>
      <c r="H66" s="37">
        <v>3.2095901419030954</v>
      </c>
      <c r="I66" s="37">
        <v>1.6684030416752593</v>
      </c>
      <c r="J66" s="37">
        <v>7.909751839215566</v>
      </c>
      <c r="K66" s="37">
        <v>37.82888488708349</v>
      </c>
    </row>
    <row r="68" spans="1:11" ht="12.75">
      <c r="A68" s="41" t="s">
        <v>172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 t="s">
        <v>14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33" t="s">
        <v>62</v>
      </c>
      <c r="B70" s="33"/>
      <c r="C70" s="33"/>
      <c r="D70" s="54">
        <v>0.0027076375806738273</v>
      </c>
      <c r="E70" s="33"/>
      <c r="F70" s="33"/>
      <c r="G70" s="33"/>
      <c r="H70" s="33"/>
      <c r="I70" s="33"/>
      <c r="J70" s="33"/>
      <c r="K70" s="33"/>
    </row>
    <row r="71" spans="1:11" ht="12.75">
      <c r="A71" s="33"/>
      <c r="B71" s="40" t="s">
        <v>0</v>
      </c>
      <c r="C71" s="40" t="s">
        <v>1</v>
      </c>
      <c r="D71" s="40" t="s">
        <v>2</v>
      </c>
      <c r="E71" s="40" t="s">
        <v>3</v>
      </c>
      <c r="F71" s="40" t="s">
        <v>4</v>
      </c>
      <c r="G71" s="40" t="s">
        <v>5</v>
      </c>
      <c r="H71" s="40" t="s">
        <v>6</v>
      </c>
      <c r="I71" s="40" t="s">
        <v>7</v>
      </c>
      <c r="J71" s="40" t="s">
        <v>8</v>
      </c>
      <c r="K71" s="40" t="s">
        <v>9</v>
      </c>
    </row>
    <row r="72" spans="1:11" s="45" customFormat="1" ht="12.75">
      <c r="A72" s="51" t="s">
        <v>171</v>
      </c>
      <c r="B72" s="42">
        <v>5.099036370000001</v>
      </c>
      <c r="C72" s="42">
        <v>25.250002369999983</v>
      </c>
      <c r="D72" s="42">
        <v>58.26073410142856</v>
      </c>
      <c r="E72" s="42">
        <v>56.12550723285725</v>
      </c>
      <c r="F72" s="42">
        <v>25.703184440000012</v>
      </c>
      <c r="G72" s="42">
        <v>52.9903591714286</v>
      </c>
      <c r="H72" s="42">
        <v>28.243312248571417</v>
      </c>
      <c r="I72" s="42">
        <v>20.199499948571425</v>
      </c>
      <c r="J72" s="42">
        <v>0</v>
      </c>
      <c r="K72" s="42">
        <v>271.8716358828572</v>
      </c>
    </row>
    <row r="73" spans="1:11" ht="12.75">
      <c r="A73" s="51"/>
      <c r="B73" s="42"/>
      <c r="C73" s="42"/>
      <c r="D73" s="42"/>
      <c r="E73" s="42"/>
      <c r="F73" s="42"/>
      <c r="G73" s="42"/>
      <c r="H73" s="42"/>
      <c r="I73" s="42"/>
      <c r="J73" s="42"/>
      <c r="K73" s="42"/>
    </row>
  </sheetData>
  <sheetProtection/>
  <printOptions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00390625" style="30" customWidth="1"/>
    <col min="2" max="10" width="8.57421875" style="30" customWidth="1"/>
    <col min="11" max="11" width="9.140625" style="30" bestFit="1" customWidth="1"/>
    <col min="12" max="16384" width="11.421875" style="30" customWidth="1"/>
  </cols>
  <sheetData>
    <row r="1" ht="15.75">
      <c r="A1" s="29" t="s">
        <v>193</v>
      </c>
    </row>
    <row r="2" ht="12.75">
      <c r="A2" s="50"/>
    </row>
    <row r="5" spans="1:11" ht="12.75">
      <c r="A5" s="32" t="s">
        <v>174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34"/>
      <c r="B7" s="35" t="s">
        <v>0</v>
      </c>
      <c r="C7" s="35" t="s">
        <v>1</v>
      </c>
      <c r="D7" s="35" t="s">
        <v>2</v>
      </c>
      <c r="E7" s="35" t="s">
        <v>3</v>
      </c>
      <c r="F7" s="35" t="s">
        <v>4</v>
      </c>
      <c r="G7" s="35" t="s">
        <v>5</v>
      </c>
      <c r="H7" s="35" t="s">
        <v>6</v>
      </c>
      <c r="I7" s="35" t="s">
        <v>7</v>
      </c>
      <c r="J7" s="35" t="s">
        <v>8</v>
      </c>
      <c r="K7" s="35" t="s">
        <v>9</v>
      </c>
    </row>
    <row r="8" spans="1:11" ht="12.75">
      <c r="A8" s="34" t="s">
        <v>175</v>
      </c>
      <c r="B8" s="26">
        <v>272.03078753950524</v>
      </c>
      <c r="C8" s="26">
        <v>645.8556136032201</v>
      </c>
      <c r="D8" s="26">
        <v>1744.6491149841265</v>
      </c>
      <c r="E8" s="26">
        <v>1641.4498675548027</v>
      </c>
      <c r="F8" s="26">
        <v>717.9489768414411</v>
      </c>
      <c r="G8" s="26">
        <v>1323.4926681295622</v>
      </c>
      <c r="H8" s="26">
        <v>917.3530537392214</v>
      </c>
      <c r="I8" s="26">
        <v>491.96050936497164</v>
      </c>
      <c r="J8" s="26">
        <v>2725.581553659491</v>
      </c>
      <c r="K8" s="27">
        <v>10480.322145416341</v>
      </c>
    </row>
    <row r="9" spans="1:11" ht="12.75">
      <c r="A9" s="34" t="s">
        <v>10</v>
      </c>
      <c r="B9" s="26">
        <v>-0.7332202631194378</v>
      </c>
      <c r="C9" s="26">
        <v>-1.89213477153657</v>
      </c>
      <c r="D9" s="26">
        <v>-4.232718528970611</v>
      </c>
      <c r="E9" s="26">
        <v>-5.341280936096795</v>
      </c>
      <c r="F9" s="26">
        <v>-2.123348502145498</v>
      </c>
      <c r="G9" s="26">
        <v>-4.209860567360651</v>
      </c>
      <c r="H9" s="26">
        <v>-2.47125802776881</v>
      </c>
      <c r="I9" s="26">
        <v>-0.9522159075575765</v>
      </c>
      <c r="J9" s="26">
        <v>-8.799957606022247</v>
      </c>
      <c r="K9" s="27">
        <v>-30.755995110578194</v>
      </c>
    </row>
    <row r="10" spans="1:11" ht="12.75">
      <c r="A10" s="36" t="s">
        <v>121</v>
      </c>
      <c r="B10" s="27">
        <v>271.2975672763858</v>
      </c>
      <c r="C10" s="27">
        <v>643.9634788316836</v>
      </c>
      <c r="D10" s="27">
        <v>1740.416396455156</v>
      </c>
      <c r="E10" s="27">
        <v>1636.1085866187059</v>
      </c>
      <c r="F10" s="27">
        <v>715.8256283392956</v>
      </c>
      <c r="G10" s="27">
        <v>1319.2828075622015</v>
      </c>
      <c r="H10" s="27">
        <v>914.8817957114526</v>
      </c>
      <c r="I10" s="27">
        <v>491.0082934574141</v>
      </c>
      <c r="J10" s="27">
        <v>2716.7815960534685</v>
      </c>
      <c r="K10" s="27">
        <v>10449.566150305764</v>
      </c>
    </row>
    <row r="11" spans="1:11" ht="12.75">
      <c r="A11" s="36" t="s">
        <v>122</v>
      </c>
      <c r="B11" s="27">
        <v>-6.3759999999999994</v>
      </c>
      <c r="C11" s="27">
        <v>-12.324499999999999</v>
      </c>
      <c r="D11" s="27">
        <v>-35.492000000000004</v>
      </c>
      <c r="E11" s="27">
        <v>-19.788580000000003</v>
      </c>
      <c r="F11" s="27">
        <v>-9.2675</v>
      </c>
      <c r="G11" s="27">
        <v>-27.473764999999997</v>
      </c>
      <c r="H11" s="27">
        <v>-10.549</v>
      </c>
      <c r="I11" s="27">
        <v>-5.8868</v>
      </c>
      <c r="J11" s="27">
        <v>0</v>
      </c>
      <c r="K11" s="27">
        <v>-127.15814499999999</v>
      </c>
    </row>
    <row r="12" spans="1:11" ht="12.75">
      <c r="A12" s="36" t="s">
        <v>123</v>
      </c>
      <c r="B12" s="27">
        <v>264.9215672763858</v>
      </c>
      <c r="C12" s="27">
        <v>631.6389788316836</v>
      </c>
      <c r="D12" s="27">
        <v>1704.924396455156</v>
      </c>
      <c r="E12" s="27">
        <v>1616.320006618706</v>
      </c>
      <c r="F12" s="27">
        <v>706.5581283392955</v>
      </c>
      <c r="G12" s="27">
        <v>1291.8090425622015</v>
      </c>
      <c r="H12" s="27">
        <v>904.3327957114526</v>
      </c>
      <c r="I12" s="27">
        <v>485.1214934574141</v>
      </c>
      <c r="J12" s="27">
        <v>2716.7815960534685</v>
      </c>
      <c r="K12" s="27">
        <v>10322.408005305764</v>
      </c>
    </row>
    <row r="13" spans="1:11" ht="12.75">
      <c r="A13" s="36" t="s">
        <v>12</v>
      </c>
      <c r="B13" s="26">
        <v>0</v>
      </c>
      <c r="C13" s="26">
        <v>1.020865</v>
      </c>
      <c r="D13" s="26">
        <v>1.107248</v>
      </c>
      <c r="E13" s="26">
        <v>0.850291</v>
      </c>
      <c r="F13" s="26">
        <v>1.074959</v>
      </c>
      <c r="G13" s="26">
        <v>0.36738</v>
      </c>
      <c r="H13" s="26">
        <v>2.3474589999999997</v>
      </c>
      <c r="I13" s="26">
        <v>3.339518</v>
      </c>
      <c r="J13" s="26">
        <v>3.203828</v>
      </c>
      <c r="K13" s="27">
        <v>13.311548</v>
      </c>
    </row>
    <row r="14" spans="1:11" ht="12.75">
      <c r="A14" s="32" t="s">
        <v>11</v>
      </c>
      <c r="B14" s="27">
        <v>264.9215672763858</v>
      </c>
      <c r="C14" s="27">
        <v>632.6598438316836</v>
      </c>
      <c r="D14" s="27">
        <v>1706.031644455156</v>
      </c>
      <c r="E14" s="27">
        <v>1617.170297618706</v>
      </c>
      <c r="F14" s="27">
        <v>707.6330873392956</v>
      </c>
      <c r="G14" s="27">
        <v>1292.1764225622014</v>
      </c>
      <c r="H14" s="27">
        <v>906.6802547114526</v>
      </c>
      <c r="I14" s="27">
        <v>488.4610114574141</v>
      </c>
      <c r="J14" s="27">
        <v>2719.9854240534687</v>
      </c>
      <c r="K14" s="27">
        <v>10335.719553305764</v>
      </c>
    </row>
    <row r="15" spans="1:11" ht="12.75">
      <c r="A15" s="34"/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spans="1:11" ht="12.75">
      <c r="A16" s="32" t="s">
        <v>176</v>
      </c>
      <c r="B16" s="38"/>
      <c r="C16" s="38"/>
      <c r="D16" s="38"/>
      <c r="E16" s="38"/>
      <c r="F16" s="38"/>
      <c r="G16" s="38"/>
      <c r="H16" s="38"/>
      <c r="I16" s="38"/>
      <c r="J16" s="38"/>
      <c r="K16" s="39"/>
    </row>
    <row r="17" spans="1:11" ht="12.75">
      <c r="A17" s="32"/>
      <c r="B17" s="38"/>
      <c r="C17" s="38"/>
      <c r="D17" s="38"/>
      <c r="E17" s="38"/>
      <c r="F17" s="38"/>
      <c r="G17" s="38"/>
      <c r="H17" s="38"/>
      <c r="I17" s="38"/>
      <c r="J17" s="38"/>
      <c r="K17" s="39"/>
    </row>
    <row r="18" spans="1:11" ht="12.75">
      <c r="A18" s="34"/>
      <c r="B18" s="40" t="s">
        <v>0</v>
      </c>
      <c r="C18" s="40" t="s">
        <v>1</v>
      </c>
      <c r="D18" s="40" t="s">
        <v>2</v>
      </c>
      <c r="E18" s="40" t="s">
        <v>3</v>
      </c>
      <c r="F18" s="40" t="s">
        <v>4</v>
      </c>
      <c r="G18" s="40" t="s">
        <v>5</v>
      </c>
      <c r="H18" s="40" t="s">
        <v>6</v>
      </c>
      <c r="I18" s="40" t="s">
        <v>7</v>
      </c>
      <c r="J18" s="40" t="s">
        <v>8</v>
      </c>
      <c r="K18" s="40" t="s">
        <v>9</v>
      </c>
    </row>
    <row r="19" spans="1:11" ht="12.75">
      <c r="A19" s="34" t="s">
        <v>175</v>
      </c>
      <c r="B19" s="26">
        <v>561.6743843781114</v>
      </c>
      <c r="C19" s="26">
        <v>1125.8598917464435</v>
      </c>
      <c r="D19" s="26">
        <v>3180.9858610935266</v>
      </c>
      <c r="E19" s="26">
        <v>2778.8126552810995</v>
      </c>
      <c r="F19" s="26">
        <v>1100.356271834254</v>
      </c>
      <c r="G19" s="26">
        <v>2387.989167201621</v>
      </c>
      <c r="H19" s="26">
        <v>1453.1211619187518</v>
      </c>
      <c r="I19" s="26">
        <v>773.8237062285075</v>
      </c>
      <c r="J19" s="26">
        <v>3644.9503467101104</v>
      </c>
      <c r="K19" s="27">
        <v>17007.573446392427</v>
      </c>
    </row>
    <row r="20" spans="1:11" ht="12.75">
      <c r="A20" s="34" t="s">
        <v>10</v>
      </c>
      <c r="B20" s="26">
        <v>1.6480353759697173</v>
      </c>
      <c r="C20" s="26">
        <v>3.2799046813528987</v>
      </c>
      <c r="D20" s="26">
        <v>9.305393456686287</v>
      </c>
      <c r="E20" s="26">
        <v>8.190244291719981</v>
      </c>
      <c r="F20" s="26">
        <v>3.178408608005615</v>
      </c>
      <c r="G20" s="26">
        <v>7.032233915540855</v>
      </c>
      <c r="H20" s="26">
        <v>4.2343381553466894</v>
      </c>
      <c r="I20" s="26">
        <v>2.229411174569046</v>
      </c>
      <c r="J20" s="26">
        <v>10.608858803917188</v>
      </c>
      <c r="K20" s="27">
        <v>49.70682846310827</v>
      </c>
    </row>
    <row r="21" spans="1:11" ht="12.75">
      <c r="A21" s="36" t="s">
        <v>121</v>
      </c>
      <c r="B21" s="27">
        <v>563.3224197540811</v>
      </c>
      <c r="C21" s="27">
        <v>1129.1397964277965</v>
      </c>
      <c r="D21" s="27">
        <v>3190.291254550213</v>
      </c>
      <c r="E21" s="27">
        <v>2787.0028995728194</v>
      </c>
      <c r="F21" s="27">
        <v>1103.5346804422595</v>
      </c>
      <c r="G21" s="27">
        <v>2395.021401117162</v>
      </c>
      <c r="H21" s="27">
        <v>1457.3555000740985</v>
      </c>
      <c r="I21" s="27">
        <v>776.0531174030765</v>
      </c>
      <c r="J21" s="27">
        <v>3655.5592055140273</v>
      </c>
      <c r="K21" s="27">
        <v>17057.280274855537</v>
      </c>
    </row>
    <row r="22" spans="1:11" ht="12.75">
      <c r="A22" s="36" t="s">
        <v>122</v>
      </c>
      <c r="B22" s="27">
        <v>-6.3759999999999994</v>
      </c>
      <c r="C22" s="27">
        <v>-12.324499999999999</v>
      </c>
      <c r="D22" s="27">
        <v>-37.304</v>
      </c>
      <c r="E22" s="27">
        <v>-37.457420000000006</v>
      </c>
      <c r="F22" s="27">
        <v>-9.2675</v>
      </c>
      <c r="G22" s="27">
        <v>-38.818234999999994</v>
      </c>
      <c r="H22" s="27">
        <v>-19.591</v>
      </c>
      <c r="I22" s="27">
        <v>-8.830200000000003</v>
      </c>
      <c r="J22" s="27">
        <v>-74.687</v>
      </c>
      <c r="K22" s="27">
        <v>-244.65585499999997</v>
      </c>
    </row>
    <row r="23" spans="1:11" ht="12.75">
      <c r="A23" s="36" t="s">
        <v>123</v>
      </c>
      <c r="B23" s="27">
        <v>556.9464197540811</v>
      </c>
      <c r="C23" s="27">
        <v>1116.8152964277965</v>
      </c>
      <c r="D23" s="27">
        <v>3152.987254550213</v>
      </c>
      <c r="E23" s="27">
        <v>2749.545479572819</v>
      </c>
      <c r="F23" s="27">
        <v>1094.2671804422596</v>
      </c>
      <c r="G23" s="27">
        <v>2356.203166117162</v>
      </c>
      <c r="H23" s="27">
        <v>1437.7645000740986</v>
      </c>
      <c r="I23" s="27">
        <v>767.2229174030765</v>
      </c>
      <c r="J23" s="27">
        <v>3580.8722055140274</v>
      </c>
      <c r="K23" s="27">
        <v>16812.624419855536</v>
      </c>
    </row>
    <row r="24" spans="1:11" ht="12.75">
      <c r="A24" s="36" t="s">
        <v>12</v>
      </c>
      <c r="B24" s="26">
        <v>0</v>
      </c>
      <c r="C24" s="26">
        <v>0.7895549999999999</v>
      </c>
      <c r="D24" s="26">
        <v>0.880485</v>
      </c>
      <c r="E24" s="26">
        <v>0.6100030000000001</v>
      </c>
      <c r="F24" s="26">
        <v>0.784494</v>
      </c>
      <c r="G24" s="26">
        <v>0.101676</v>
      </c>
      <c r="H24" s="26">
        <v>1.615891</v>
      </c>
      <c r="I24" s="26">
        <v>2.995435</v>
      </c>
      <c r="J24" s="26">
        <v>3.087411</v>
      </c>
      <c r="K24" s="27">
        <v>10.86495</v>
      </c>
    </row>
    <row r="25" spans="1:11" ht="12.75">
      <c r="A25" s="32" t="s">
        <v>11</v>
      </c>
      <c r="B25" s="27">
        <v>556.9464197540811</v>
      </c>
      <c r="C25" s="27">
        <v>1117.6048514277966</v>
      </c>
      <c r="D25" s="27">
        <v>3153.867739550213</v>
      </c>
      <c r="E25" s="27">
        <v>2750.155482572819</v>
      </c>
      <c r="F25" s="27">
        <v>1095.0516744422596</v>
      </c>
      <c r="G25" s="27">
        <v>2356.304842117162</v>
      </c>
      <c r="H25" s="27">
        <v>1439.3803910740985</v>
      </c>
      <c r="I25" s="27">
        <v>770.2183524030766</v>
      </c>
      <c r="J25" s="27">
        <v>3583.9596165140274</v>
      </c>
      <c r="K25" s="27">
        <v>16823.489369855535</v>
      </c>
    </row>
    <row r="26" spans="1:11" ht="12.75">
      <c r="A26" s="32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2.75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32" t="s">
        <v>148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12.75">
      <c r="A29" s="34"/>
      <c r="B29" s="99" t="s">
        <v>0</v>
      </c>
      <c r="C29" s="99" t="s">
        <v>1</v>
      </c>
      <c r="D29" s="99" t="s">
        <v>2</v>
      </c>
      <c r="E29" s="99" t="s">
        <v>3</v>
      </c>
      <c r="F29" s="99" t="s">
        <v>4</v>
      </c>
      <c r="G29" s="99" t="s">
        <v>5</v>
      </c>
      <c r="H29" s="99" t="s">
        <v>6</v>
      </c>
      <c r="I29" s="99" t="s">
        <v>7</v>
      </c>
      <c r="J29" s="99" t="s">
        <v>8</v>
      </c>
      <c r="K29" s="99" t="s">
        <v>9</v>
      </c>
    </row>
    <row r="30" spans="1:12" ht="12.75">
      <c r="A30" s="34" t="s">
        <v>146</v>
      </c>
      <c r="B30" s="26">
        <v>18.28961289177211</v>
      </c>
      <c r="C30" s="26">
        <v>45.56455859369996</v>
      </c>
      <c r="D30" s="26">
        <v>106.49103240455356</v>
      </c>
      <c r="E30" s="26">
        <v>104.24177297793808</v>
      </c>
      <c r="F30" s="26">
        <v>43.93445073658689</v>
      </c>
      <c r="G30" s="26">
        <v>92.53507246422247</v>
      </c>
      <c r="H30" s="26">
        <v>71.33870511483408</v>
      </c>
      <c r="I30" s="26">
        <v>25.42687900130198</v>
      </c>
      <c r="J30" s="26">
        <v>177.5678108390951</v>
      </c>
      <c r="K30" s="26">
        <v>685.3898950240042</v>
      </c>
      <c r="L30" s="45"/>
    </row>
    <row r="31" spans="1:12" ht="12.75">
      <c r="A31" s="34" t="s">
        <v>149</v>
      </c>
      <c r="B31" s="26">
        <v>4.6175386497587905</v>
      </c>
      <c r="C31" s="26">
        <v>12.382256635842298</v>
      </c>
      <c r="D31" s="26">
        <v>25.944032281362475</v>
      </c>
      <c r="E31" s="26">
        <v>24.581391598949214</v>
      </c>
      <c r="F31" s="26">
        <v>11.542051313879961</v>
      </c>
      <c r="G31" s="26">
        <v>23.130780701202283</v>
      </c>
      <c r="H31" s="26">
        <v>14.330168546801973</v>
      </c>
      <c r="I31" s="26">
        <v>6.673169191739278</v>
      </c>
      <c r="J31" s="26">
        <v>56.32966278181642</v>
      </c>
      <c r="K31" s="26">
        <v>179.53105170135268</v>
      </c>
      <c r="L31" s="45"/>
    </row>
    <row r="32" spans="1:12" ht="12.75">
      <c r="A32" s="34" t="s">
        <v>150</v>
      </c>
      <c r="B32" s="26">
        <v>6.825613985391109</v>
      </c>
      <c r="C32" s="26">
        <v>18.303366896284018</v>
      </c>
      <c r="D32" s="26">
        <v>38.35029070874297</v>
      </c>
      <c r="E32" s="26">
        <v>36.33604459097009</v>
      </c>
      <c r="F32" s="26">
        <v>17.061381147775833</v>
      </c>
      <c r="G32" s="26">
        <v>34.19176150380212</v>
      </c>
      <c r="H32" s="26">
        <v>21.182756932889518</v>
      </c>
      <c r="I32" s="26">
        <v>9.864232964113045</v>
      </c>
      <c r="J32" s="26">
        <v>83.26612146408688</v>
      </c>
      <c r="K32" s="26">
        <v>265.3815701940556</v>
      </c>
      <c r="L32" s="45"/>
    </row>
    <row r="33" spans="1:12" ht="12.75">
      <c r="A33" s="34" t="s">
        <v>151</v>
      </c>
      <c r="B33" s="26">
        <v>0.14108099758314832</v>
      </c>
      <c r="C33" s="26">
        <v>0.8468028002377503</v>
      </c>
      <c r="D33" s="26">
        <v>1.0540861685459146</v>
      </c>
      <c r="E33" s="26">
        <v>3.1101710160566047</v>
      </c>
      <c r="F33" s="26">
        <v>3.8700272007863594</v>
      </c>
      <c r="G33" s="26">
        <v>3.467544059353805</v>
      </c>
      <c r="H33" s="26">
        <v>3.0479651782980755</v>
      </c>
      <c r="I33" s="26">
        <v>3.64590190382744</v>
      </c>
      <c r="J33" s="26">
        <v>23.94361940711279</v>
      </c>
      <c r="K33" s="26">
        <v>43.12719873180189</v>
      </c>
      <c r="L33" s="45"/>
    </row>
    <row r="34" spans="1:12" ht="12.75">
      <c r="A34" s="34" t="s">
        <v>152</v>
      </c>
      <c r="B34" s="26"/>
      <c r="C34" s="26"/>
      <c r="D34" s="26"/>
      <c r="E34" s="26"/>
      <c r="F34" s="26"/>
      <c r="G34" s="26"/>
      <c r="H34" s="26"/>
      <c r="I34" s="26"/>
      <c r="J34" s="26"/>
      <c r="K34" s="26">
        <v>1.3258159619540566</v>
      </c>
      <c r="L34" s="45"/>
    </row>
    <row r="35" spans="1:12" ht="12.75">
      <c r="A35" s="34" t="s">
        <v>153</v>
      </c>
      <c r="B35" s="26">
        <v>0</v>
      </c>
      <c r="C35" s="26">
        <v>0</v>
      </c>
      <c r="D35" s="26">
        <v>0</v>
      </c>
      <c r="E35" s="26">
        <v>3.458812004357674</v>
      </c>
      <c r="F35" s="26">
        <v>3.159902324968739</v>
      </c>
      <c r="G35" s="26">
        <v>4.739853487453109</v>
      </c>
      <c r="H35" s="26">
        <v>3.7150203009767604</v>
      </c>
      <c r="I35" s="26">
        <v>0</v>
      </c>
      <c r="J35" s="26">
        <v>27.627794652091545</v>
      </c>
      <c r="K35" s="26">
        <v>42.701382769847825</v>
      </c>
      <c r="L35" s="45"/>
    </row>
    <row r="36" spans="1:12" ht="12.75">
      <c r="A36" s="34" t="s">
        <v>154</v>
      </c>
      <c r="B36" s="26">
        <v>5.177692214409242</v>
      </c>
      <c r="C36" s="26">
        <v>8.294886949933879</v>
      </c>
      <c r="D36" s="26">
        <v>24.353382609977057</v>
      </c>
      <c r="E36" s="26">
        <v>21.36653104807938</v>
      </c>
      <c r="F36" s="26">
        <v>8.006480038107085</v>
      </c>
      <c r="G36" s="26">
        <v>18.168147354113295</v>
      </c>
      <c r="H36" s="26">
        <v>10.82798981179427</v>
      </c>
      <c r="I36" s="26">
        <v>5.628585064918768</v>
      </c>
      <c r="J36" s="26">
        <v>24.684625931105263</v>
      </c>
      <c r="K36" s="26">
        <v>126.50832102243824</v>
      </c>
      <c r="L36" s="45"/>
    </row>
    <row r="37" spans="1:12" ht="12.75">
      <c r="A37" s="34" t="s">
        <v>155</v>
      </c>
      <c r="B37" s="26">
        <v>0.1758543728349897</v>
      </c>
      <c r="C37" s="26">
        <v>2.2747828793597256</v>
      </c>
      <c r="D37" s="26">
        <v>2.141454649979203</v>
      </c>
      <c r="E37" s="26">
        <v>3.333172405091424</v>
      </c>
      <c r="F37" s="26">
        <v>1.980909303603103</v>
      </c>
      <c r="G37" s="26">
        <v>4.443505350464224</v>
      </c>
      <c r="H37" s="26">
        <v>1.6401489854469298</v>
      </c>
      <c r="I37" s="26">
        <v>0.010172053220403923</v>
      </c>
      <c r="J37" s="26">
        <v>0</v>
      </c>
      <c r="K37" s="26">
        <v>16</v>
      </c>
      <c r="L37" s="45"/>
    </row>
    <row r="38" spans="1:12" ht="12.75">
      <c r="A38" s="34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45"/>
    </row>
    <row r="39" spans="1:12" ht="12.75">
      <c r="A39" s="34" t="s">
        <v>184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45"/>
    </row>
    <row r="40" spans="1:12" ht="12.75">
      <c r="A40" s="34" t="s">
        <v>156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45"/>
    </row>
    <row r="41" spans="1:12" ht="12.75">
      <c r="A41" s="34" t="s">
        <v>157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45"/>
    </row>
    <row r="42" spans="1:11" ht="12.75">
      <c r="A42" s="33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ht="12.75">
      <c r="A44" s="51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2.75">
      <c r="A45" s="41" t="s">
        <v>15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12.75">
      <c r="A47" s="41" t="s">
        <v>16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ht="12.75">
      <c r="A48" s="34" t="s">
        <v>14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ht="12.75">
      <c r="A49" s="34"/>
      <c r="B49" s="35" t="s">
        <v>0</v>
      </c>
      <c r="C49" s="35" t="s">
        <v>1</v>
      </c>
      <c r="D49" s="35" t="s">
        <v>2</v>
      </c>
      <c r="E49" s="35" t="s">
        <v>3</v>
      </c>
      <c r="F49" s="35" t="s">
        <v>4</v>
      </c>
      <c r="G49" s="35" t="s">
        <v>5</v>
      </c>
      <c r="H49" s="35" t="s">
        <v>6</v>
      </c>
      <c r="I49" s="35" t="s">
        <v>7</v>
      </c>
      <c r="J49" s="35" t="s">
        <v>8</v>
      </c>
      <c r="K49" s="35" t="s">
        <v>9</v>
      </c>
    </row>
    <row r="50" spans="1:11" ht="12.75">
      <c r="A50" s="34" t="s">
        <v>177</v>
      </c>
      <c r="B50" s="42">
        <v>13.150401298404317</v>
      </c>
      <c r="C50" s="42">
        <v>44.60112152943835</v>
      </c>
      <c r="D50" s="42">
        <v>79.71610527595593</v>
      </c>
      <c r="E50" s="42">
        <v>76.57680788016917</v>
      </c>
      <c r="F50" s="42">
        <v>49.4833064426184</v>
      </c>
      <c r="G50" s="42">
        <v>68.69706642352054</v>
      </c>
      <c r="H50" s="42">
        <v>76.1830832903966</v>
      </c>
      <c r="I50" s="42">
        <v>25.25612001861204</v>
      </c>
      <c r="J50" s="42">
        <v>91.30210753766382</v>
      </c>
      <c r="K50" s="37">
        <v>524.9661196967792</v>
      </c>
    </row>
    <row r="51" spans="1:11" ht="12.75">
      <c r="A51" s="34" t="s">
        <v>10</v>
      </c>
      <c r="B51" s="42">
        <v>0.07516470094841497</v>
      </c>
      <c r="C51" s="42">
        <v>0.25492985998313816</v>
      </c>
      <c r="D51" s="42">
        <v>0.455639115330021</v>
      </c>
      <c r="E51" s="42">
        <v>0.4376956058820506</v>
      </c>
      <c r="F51" s="42">
        <v>0.2828353178202742</v>
      </c>
      <c r="G51" s="42">
        <v>0.3926567970502947</v>
      </c>
      <c r="H51" s="42">
        <v>0.43544516573387954</v>
      </c>
      <c r="I51" s="42">
        <v>0.14435823403705944</v>
      </c>
      <c r="J51" s="42">
        <v>0.5218620674230915</v>
      </c>
      <c r="K51" s="37">
        <v>3.0005868642082243</v>
      </c>
    </row>
    <row r="52" spans="1:11" ht="12.75">
      <c r="A52" s="43" t="s">
        <v>11</v>
      </c>
      <c r="B52" s="37">
        <v>13.225565999352732</v>
      </c>
      <c r="C52" s="37">
        <v>44.85605138942149</v>
      </c>
      <c r="D52" s="37">
        <v>80.17174439128594</v>
      </c>
      <c r="E52" s="37">
        <v>77.01450348605123</v>
      </c>
      <c r="F52" s="37">
        <v>49.76614176043867</v>
      </c>
      <c r="G52" s="37">
        <v>69.08972322057083</v>
      </c>
      <c r="H52" s="37">
        <v>76.61852845613048</v>
      </c>
      <c r="I52" s="37">
        <v>25.4004782526491</v>
      </c>
      <c r="J52" s="37">
        <v>91.8239696050869</v>
      </c>
      <c r="K52" s="37">
        <v>527.9667065609874</v>
      </c>
    </row>
    <row r="53" spans="1:11" ht="12.75">
      <c r="A53" s="33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2.75">
      <c r="A54" s="41" t="s">
        <v>17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2.75">
      <c r="A55" s="34" t="s">
        <v>14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2.75">
      <c r="A56" s="34"/>
      <c r="B56" s="40" t="s">
        <v>0</v>
      </c>
      <c r="C56" s="40" t="s">
        <v>1</v>
      </c>
      <c r="D56" s="40" t="s">
        <v>2</v>
      </c>
      <c r="E56" s="40" t="s">
        <v>3</v>
      </c>
      <c r="F56" s="40" t="s">
        <v>4</v>
      </c>
      <c r="G56" s="40" t="s">
        <v>5</v>
      </c>
      <c r="H56" s="40" t="s">
        <v>6</v>
      </c>
      <c r="I56" s="40" t="s">
        <v>7</v>
      </c>
      <c r="J56" s="40" t="s">
        <v>8</v>
      </c>
      <c r="K56" s="40" t="s">
        <v>9</v>
      </c>
    </row>
    <row r="57" spans="1:11" ht="12.75">
      <c r="A57" s="34" t="s">
        <v>177</v>
      </c>
      <c r="B57" s="42">
        <v>0.06994732492000001</v>
      </c>
      <c r="C57" s="42">
        <v>0.60403664486</v>
      </c>
      <c r="D57" s="42">
        <v>8.578031685739996</v>
      </c>
      <c r="E57" s="42">
        <v>4.296425517119999</v>
      </c>
      <c r="F57" s="42">
        <v>2.9265249417800003</v>
      </c>
      <c r="G57" s="42">
        <v>1.4700793712</v>
      </c>
      <c r="H57" s="42">
        <v>0.6384175333800001</v>
      </c>
      <c r="I57" s="42">
        <v>0.47244083018000005</v>
      </c>
      <c r="J57" s="42">
        <v>40.221490150819996</v>
      </c>
      <c r="K57" s="42">
        <v>59.277393999999994</v>
      </c>
    </row>
    <row r="58" spans="1:11" ht="12.75">
      <c r="A58" s="34" t="s">
        <v>10</v>
      </c>
      <c r="B58" s="42">
        <v>0.0001409985239242957</v>
      </c>
      <c r="C58" s="42">
        <v>0.0012176058972785313</v>
      </c>
      <c r="D58" s="42">
        <v>0.017291437624649915</v>
      </c>
      <c r="E58" s="42">
        <v>0.008660655096638948</v>
      </c>
      <c r="F58" s="42">
        <v>0.00589923485266263</v>
      </c>
      <c r="G58" s="42">
        <v>0.0029633588079000218</v>
      </c>
      <c r="H58" s="42">
        <v>0.0012869102564953892</v>
      </c>
      <c r="I58" s="42">
        <v>0.0009523374878615983</v>
      </c>
      <c r="J58" s="42">
        <v>0.0810777359647036</v>
      </c>
      <c r="K58" s="42">
        <v>0.11949027451211494</v>
      </c>
    </row>
    <row r="59" spans="1:11" ht="12.75">
      <c r="A59" s="43" t="s">
        <v>11</v>
      </c>
      <c r="B59" s="37">
        <v>0.07008832344392431</v>
      </c>
      <c r="C59" s="37">
        <v>0.6052542507572785</v>
      </c>
      <c r="D59" s="37">
        <v>8.595323123364645</v>
      </c>
      <c r="E59" s="37">
        <v>4.3050861722166385</v>
      </c>
      <c r="F59" s="37">
        <v>2.932424176632663</v>
      </c>
      <c r="G59" s="37">
        <v>1.4730427300079</v>
      </c>
      <c r="H59" s="37">
        <v>0.6397044436364955</v>
      </c>
      <c r="I59" s="37">
        <v>0.47339316766786166</v>
      </c>
      <c r="J59" s="37">
        <v>40.3025678867847</v>
      </c>
      <c r="K59" s="37">
        <v>59.396884274512104</v>
      </c>
    </row>
    <row r="60" spans="1:11" ht="12.75">
      <c r="A60" s="33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12.75">
      <c r="A61" s="41" t="s">
        <v>18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12.75">
      <c r="A62" s="34" t="s">
        <v>14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2.75">
      <c r="A63" s="34"/>
      <c r="B63" s="40" t="s">
        <v>0</v>
      </c>
      <c r="C63" s="40" t="s">
        <v>1</v>
      </c>
      <c r="D63" s="40" t="s">
        <v>2</v>
      </c>
      <c r="E63" s="40" t="s">
        <v>3</v>
      </c>
      <c r="F63" s="40" t="s">
        <v>4</v>
      </c>
      <c r="G63" s="40" t="s">
        <v>5</v>
      </c>
      <c r="H63" s="40" t="s">
        <v>6</v>
      </c>
      <c r="I63" s="40" t="s">
        <v>7</v>
      </c>
      <c r="J63" s="40" t="s">
        <v>8</v>
      </c>
      <c r="K63" s="40" t="s">
        <v>9</v>
      </c>
    </row>
    <row r="64" spans="1:11" ht="12.75">
      <c r="A64" s="34" t="s">
        <v>177</v>
      </c>
      <c r="B64" s="42">
        <v>1.3284974123745596</v>
      </c>
      <c r="C64" s="42">
        <v>2.568541071188013</v>
      </c>
      <c r="D64" s="42">
        <v>7.541111028231749</v>
      </c>
      <c r="E64" s="42">
        <v>6.616221881871849</v>
      </c>
      <c r="F64" s="42">
        <v>2.4792348512584534</v>
      </c>
      <c r="G64" s="42">
        <v>5.625831062930617</v>
      </c>
      <c r="H64" s="42">
        <v>3.35292532832176</v>
      </c>
      <c r="I64" s="42">
        <v>1.742911265600135</v>
      </c>
      <c r="J64" s="42">
        <v>8.262988764889544</v>
      </c>
      <c r="K64" s="42">
        <v>39.51826266666668</v>
      </c>
    </row>
    <row r="65" spans="1:11" ht="12.75">
      <c r="A65" s="34" t="s">
        <v>10</v>
      </c>
      <c r="B65" s="42">
        <v>0.0026779605138049192</v>
      </c>
      <c r="C65" s="42">
        <v>0.005177617587099575</v>
      </c>
      <c r="D65" s="42">
        <v>0.015201232140699177</v>
      </c>
      <c r="E65" s="42">
        <v>0.013336857704942303</v>
      </c>
      <c r="F65" s="42">
        <v>0.0049975957606507105</v>
      </c>
      <c r="G65" s="42">
        <v>0.011340446209025686</v>
      </c>
      <c r="H65" s="42">
        <v>0.006758764865738612</v>
      </c>
      <c r="I65" s="42">
        <v>0.003513328294708572</v>
      </c>
      <c r="J65" s="42">
        <v>0.01665637993139535</v>
      </c>
      <c r="K65" s="42">
        <v>0.07966018300806489</v>
      </c>
    </row>
    <row r="66" spans="1:11" ht="12.75">
      <c r="A66" s="43" t="s">
        <v>11</v>
      </c>
      <c r="B66" s="37">
        <v>1.3311753728883646</v>
      </c>
      <c r="C66" s="37">
        <v>2.5737186887751125</v>
      </c>
      <c r="D66" s="37">
        <v>7.556312260372448</v>
      </c>
      <c r="E66" s="37">
        <v>6.629558739576791</v>
      </c>
      <c r="F66" s="37">
        <v>2.484232447019104</v>
      </c>
      <c r="G66" s="37">
        <v>5.637171509139643</v>
      </c>
      <c r="H66" s="37">
        <v>3.3596840931874987</v>
      </c>
      <c r="I66" s="37">
        <v>1.7464245938948437</v>
      </c>
      <c r="J66" s="37">
        <v>8.27964514482094</v>
      </c>
      <c r="K66" s="37">
        <v>39.597922849674745</v>
      </c>
    </row>
    <row r="68" spans="1:11" ht="12.75">
      <c r="A68" s="41" t="s">
        <v>172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 t="s">
        <v>14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33" t="s">
        <v>62</v>
      </c>
      <c r="B70" s="33"/>
      <c r="C70" s="33"/>
      <c r="D70" s="54">
        <v>0.030533688942537385</v>
      </c>
      <c r="E70" s="33"/>
      <c r="F70" s="33"/>
      <c r="G70" s="33"/>
      <c r="H70" s="33"/>
      <c r="I70" s="33"/>
      <c r="J70" s="33"/>
      <c r="K70" s="33"/>
    </row>
    <row r="71" spans="1:11" ht="12.75">
      <c r="A71" s="33"/>
      <c r="B71" s="40" t="s">
        <v>0</v>
      </c>
      <c r="C71" s="40" t="s">
        <v>1</v>
      </c>
      <c r="D71" s="40" t="s">
        <v>2</v>
      </c>
      <c r="E71" s="40" t="s">
        <v>3</v>
      </c>
      <c r="F71" s="40" t="s">
        <v>4</v>
      </c>
      <c r="G71" s="40" t="s">
        <v>5</v>
      </c>
      <c r="H71" s="40" t="s">
        <v>6</v>
      </c>
      <c r="I71" s="40" t="s">
        <v>7</v>
      </c>
      <c r="J71" s="40" t="s">
        <v>8</v>
      </c>
      <c r="K71" s="40" t="s">
        <v>9</v>
      </c>
    </row>
    <row r="72" spans="1:11" s="45" customFormat="1" ht="12.75">
      <c r="A72" s="51" t="s">
        <v>171</v>
      </c>
      <c r="B72" s="42">
        <v>5.254266389999999</v>
      </c>
      <c r="C72" s="42">
        <v>26.021084100000014</v>
      </c>
      <c r="D72" s="42">
        <v>60.03578297428574</v>
      </c>
      <c r="E72" s="42">
        <v>57.83580890428568</v>
      </c>
      <c r="F72" s="42">
        <v>26.488468922857127</v>
      </c>
      <c r="G72" s="42">
        <v>54.60821176142859</v>
      </c>
      <c r="H72" s="42">
        <v>29.1035073642857</v>
      </c>
      <c r="I72" s="42">
        <v>20.815816905714282</v>
      </c>
      <c r="J72" s="42">
        <v>0</v>
      </c>
      <c r="K72" s="42">
        <v>280.16294732285706</v>
      </c>
    </row>
    <row r="73" spans="1:11" ht="12.75">
      <c r="A73" s="51"/>
      <c r="B73" s="42"/>
      <c r="C73" s="42"/>
      <c r="D73" s="42"/>
      <c r="E73" s="42"/>
      <c r="F73" s="42"/>
      <c r="G73" s="42"/>
      <c r="H73" s="42"/>
      <c r="I73" s="42"/>
      <c r="J73" s="42"/>
      <c r="K73" s="42"/>
    </row>
  </sheetData>
  <sheetProtection/>
  <printOptions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11" width="8.57421875" style="0" customWidth="1"/>
  </cols>
  <sheetData>
    <row r="1" ht="15.75">
      <c r="A1" s="1" t="s">
        <v>41</v>
      </c>
    </row>
    <row r="2" ht="12.75">
      <c r="A2" s="2"/>
    </row>
    <row r="5" spans="1:11" ht="12.75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5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</row>
    <row r="8" spans="1:11" ht="12.75">
      <c r="A8" s="5" t="s">
        <v>44</v>
      </c>
      <c r="B8" s="7">
        <f>2138.95873957184/(13.7603)</f>
        <v>155.4441937727987</v>
      </c>
      <c r="C8" s="7">
        <f>5330.99128467857/(13.7603)</f>
        <v>387.4182455817509</v>
      </c>
      <c r="D8" s="7">
        <f>13372.4414556864/(13.7603)</f>
        <v>971.8132203285106</v>
      </c>
      <c r="E8" s="7">
        <f>13100.868642533/(13.7603)</f>
        <v>952.0772543137161</v>
      </c>
      <c r="F8" s="7">
        <f>5521.36914419578/(13.7603)</f>
        <v>401.2535441956777</v>
      </c>
      <c r="G8" s="7">
        <f>10759.1331768944/(13.7603)</f>
        <v>781.8967011543637</v>
      </c>
      <c r="H8" s="7">
        <f>6865.01147859595/(13.7603)</f>
        <v>498.89984074445687</v>
      </c>
      <c r="I8" s="7">
        <f>3710.35859970655/(13.7603)</f>
        <v>269.64227521976636</v>
      </c>
      <c r="J8" s="7">
        <f>21999.785903705/(13.7603)</f>
        <v>1598.7867927083719</v>
      </c>
      <c r="K8" s="8">
        <f>82798.9184255675/(13.7603)</f>
        <v>6017.232068019413</v>
      </c>
    </row>
    <row r="9" spans="1:11" ht="12.75">
      <c r="A9" s="5" t="s">
        <v>10</v>
      </c>
      <c r="B9" s="7">
        <f>104.806995501495/(13.7603)</f>
        <v>7.616621403711762</v>
      </c>
      <c r="C9" s="7">
        <f>249.14778656601/(13.7603)</f>
        <v>18.10627577640093</v>
      </c>
      <c r="D9" s="7">
        <f>600.917796008432/(13.7603)</f>
        <v>43.67039933783655</v>
      </c>
      <c r="E9" s="7">
        <f>609.981702353718/(13.7603)</f>
        <v>44.32909910058049</v>
      </c>
      <c r="F9" s="7">
        <f>232.269772686571/(13.7603)</f>
        <v>16.879702672657636</v>
      </c>
      <c r="G9" s="7">
        <f>486.098585486136/(13.7603)</f>
        <v>35.32616189226516</v>
      </c>
      <c r="H9" s="7">
        <f>285.373579080804/(13.7603)</f>
        <v>20.738906788427883</v>
      </c>
      <c r="I9" s="7">
        <f>168.607480698234/(13.7603)</f>
        <v>12.25318348424336</v>
      </c>
      <c r="J9" s="7">
        <f>1032.18349027304/(13.7603)</f>
        <v>75.01169961941554</v>
      </c>
      <c r="K9" s="8">
        <f>3769.38718865444/(13.7603)</f>
        <v>273.93205007553934</v>
      </c>
    </row>
    <row r="10" spans="1:11" ht="12.75">
      <c r="A10" s="9" t="s">
        <v>11</v>
      </c>
      <c r="B10" s="24">
        <f>2243.76573507334/(13.7603)</f>
        <v>163.06081517651046</v>
      </c>
      <c r="C10" s="24">
        <f>5580.13907124458/(13.7603)</f>
        <v>405.52452135815184</v>
      </c>
      <c r="D10" s="24">
        <f>13973.3592516948/(13.7603)</f>
        <v>1015.4836196663472</v>
      </c>
      <c r="E10" s="24">
        <f>13710.8503448867/(13.7603)</f>
        <v>996.4063534142966</v>
      </c>
      <c r="F10" s="24">
        <f>5753.63891688236/(13.7603)</f>
        <v>418.13324686833533</v>
      </c>
      <c r="G10" s="24">
        <f>11245.2317623805/(13.7603)</f>
        <v>817.2228630466287</v>
      </c>
      <c r="H10" s="24">
        <f>7150.38505767675/(13.7603)</f>
        <v>519.6387475328847</v>
      </c>
      <c r="I10" s="24">
        <f>3878.96608040479/(13.7603)</f>
        <v>281.89545870400974</v>
      </c>
      <c r="J10" s="24">
        <f>23031.9693939781/(13.7603)</f>
        <v>1673.7984923277875</v>
      </c>
      <c r="K10" s="10">
        <f>86568.305614222/(13.7603)</f>
        <v>6291.164118094953</v>
      </c>
    </row>
    <row r="11" spans="1:12" ht="12.75">
      <c r="A11" s="9" t="s">
        <v>12</v>
      </c>
      <c r="B11" s="26">
        <v>0</v>
      </c>
      <c r="C11" s="26">
        <v>1.4590837409068118</v>
      </c>
      <c r="D11" s="26">
        <v>2.23549581041111</v>
      </c>
      <c r="E11" s="26">
        <v>1.717649106487504</v>
      </c>
      <c r="F11" s="26">
        <v>1.2857878098587967</v>
      </c>
      <c r="G11" s="26">
        <v>1.5661005937370553</v>
      </c>
      <c r="H11" s="26">
        <v>3.125483165337965</v>
      </c>
      <c r="I11" s="26">
        <v>2.473464677368953</v>
      </c>
      <c r="J11" s="26">
        <v>4.073983343386409</v>
      </c>
      <c r="K11" s="27">
        <v>17.937048247494605</v>
      </c>
      <c r="L11" s="11"/>
    </row>
    <row r="12" spans="1:12" ht="12.75">
      <c r="A12" s="3" t="s">
        <v>11</v>
      </c>
      <c r="B12" s="28">
        <f>B10+B11</f>
        <v>163.06081517651046</v>
      </c>
      <c r="C12" s="28">
        <f aca="true" t="shared" si="0" ref="C12:K12">C10+C11</f>
        <v>406.98360509905865</v>
      </c>
      <c r="D12" s="28">
        <f t="shared" si="0"/>
        <v>1017.7191154767582</v>
      </c>
      <c r="E12" s="28">
        <f t="shared" si="0"/>
        <v>998.1240025207842</v>
      </c>
      <c r="F12" s="28">
        <f t="shared" si="0"/>
        <v>419.4190346781941</v>
      </c>
      <c r="G12" s="28">
        <f t="shared" si="0"/>
        <v>818.7889636403658</v>
      </c>
      <c r="H12" s="28">
        <f t="shared" si="0"/>
        <v>522.7642306982227</v>
      </c>
      <c r="I12" s="28">
        <f t="shared" si="0"/>
        <v>284.3689233813787</v>
      </c>
      <c r="J12" s="28">
        <f t="shared" si="0"/>
        <v>1677.8724756711738</v>
      </c>
      <c r="K12" s="28">
        <f t="shared" si="0"/>
        <v>6309.101166342447</v>
      </c>
      <c r="L12" s="12"/>
    </row>
    <row r="13" spans="1:11" ht="12.75">
      <c r="A13" s="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2.75">
      <c r="A14" s="3" t="s">
        <v>45</v>
      </c>
      <c r="B14" s="12"/>
      <c r="C14" s="12"/>
      <c r="D14" s="12"/>
      <c r="E14" s="12"/>
      <c r="F14" s="12"/>
      <c r="G14" s="12"/>
      <c r="H14" s="12"/>
      <c r="I14" s="12"/>
      <c r="J14" s="12"/>
      <c r="K14" s="13"/>
    </row>
    <row r="15" spans="1:11" ht="12.75">
      <c r="A15" s="5" t="s">
        <v>43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ht="12.75">
      <c r="A16" s="5"/>
      <c r="B16" s="14" t="s">
        <v>0</v>
      </c>
      <c r="C16" s="14" t="s">
        <v>1</v>
      </c>
      <c r="D16" s="14" t="s">
        <v>2</v>
      </c>
      <c r="E16" s="14" t="s">
        <v>3</v>
      </c>
      <c r="F16" s="14" t="s">
        <v>4</v>
      </c>
      <c r="G16" s="14" t="s">
        <v>5</v>
      </c>
      <c r="H16" s="14" t="s">
        <v>6</v>
      </c>
      <c r="I16" s="14" t="s">
        <v>7</v>
      </c>
      <c r="J16" s="14" t="s">
        <v>8</v>
      </c>
      <c r="K16" s="14" t="s">
        <v>9</v>
      </c>
    </row>
    <row r="17" spans="1:11" ht="12.75">
      <c r="A17" s="5" t="s">
        <v>44</v>
      </c>
      <c r="B17" s="7">
        <f>2932.1915181267/(13.7603)</f>
        <v>213.09066794522627</v>
      </c>
      <c r="C17" s="7">
        <f>6272.38060071462/(13.7603)</f>
        <v>455.83167523343417</v>
      </c>
      <c r="D17" s="7">
        <f>16758.2918051501/(13.7603)</f>
        <v>1217.8725612922776</v>
      </c>
      <c r="E17" s="7">
        <f>15399.1481151708/(13.7603)</f>
        <v>1119.0997373001198</v>
      </c>
      <c r="F17" s="7">
        <f>5923.1223737149/(13.7603)</f>
        <v>430.4500900209223</v>
      </c>
      <c r="G17" s="7">
        <f>13425.3571680896/(13.7603)</f>
        <v>975.6587551208642</v>
      </c>
      <c r="H17" s="7">
        <f>7743.86041048043/(13.7603)</f>
        <v>562.7682834298982</v>
      </c>
      <c r="I17" s="7">
        <f>4192.54234447313/(13.7603)</f>
        <v>304.68393454162555</v>
      </c>
      <c r="J17" s="7">
        <f>18844.9751461678/(13.7603)</f>
        <v>1369.5177536948872</v>
      </c>
      <c r="K17" s="8">
        <f>91491.8694820881/(13.7603)</f>
        <v>6648.973458579256</v>
      </c>
    </row>
    <row r="18" spans="1:11" ht="12.75">
      <c r="A18" s="5" t="s">
        <v>10</v>
      </c>
      <c r="B18" s="7">
        <f>238.120370858541/(13.7603)</f>
        <v>17.304882223391985</v>
      </c>
      <c r="C18" s="7">
        <f>505.272416181779/(13.7603)</f>
        <v>36.71957851077218</v>
      </c>
      <c r="D18" s="7">
        <f>1348.04490123625/(13.7603)</f>
        <v>97.96624355837075</v>
      </c>
      <c r="E18" s="7">
        <f>1185.11094364219/(13.7603)</f>
        <v>86.12537107782472</v>
      </c>
      <c r="F18" s="7">
        <f>433.934721345761/(13.7603)</f>
        <v>31.53526604403689</v>
      </c>
      <c r="G18" s="7">
        <f>1103.68496742251/(13.7603)</f>
        <v>80.20791461105581</v>
      </c>
      <c r="H18" s="7">
        <f>594.486529803069/(13.7603)</f>
        <v>43.20302099540484</v>
      </c>
      <c r="I18" s="7">
        <f>316.348401288262/(13.7603)</f>
        <v>22.989934906089374</v>
      </c>
      <c r="J18" s="7">
        <f>1383.98943548692/(13.7603)</f>
        <v>100.57843473521099</v>
      </c>
      <c r="K18" s="8">
        <f>7108.99268726529/(13.7603)</f>
        <v>516.6306466621576</v>
      </c>
    </row>
    <row r="19" spans="1:11" ht="12.75">
      <c r="A19" s="9" t="s">
        <v>11</v>
      </c>
      <c r="B19" s="24">
        <f>3170.31188898524/(13.7603)</f>
        <v>230.39555016861826</v>
      </c>
      <c r="C19" s="24">
        <f>6777.6530168964/(13.7603)</f>
        <v>492.5512537442064</v>
      </c>
      <c r="D19" s="24">
        <f>18106.3367063864/(13.7603)</f>
        <v>1315.8388048506483</v>
      </c>
      <c r="E19" s="24">
        <f>16584.259058813/(13.7603)</f>
        <v>1205.2251083779445</v>
      </c>
      <c r="F19" s="24">
        <f>6357.05709506066/(13.7603)</f>
        <v>461.98535606495915</v>
      </c>
      <c r="G19" s="24">
        <f>14529.0421355121/(13.7603)</f>
        <v>1055.86666973192</v>
      </c>
      <c r="H19" s="24">
        <f>8338.3469402835/(13.7603)</f>
        <v>605.9713044253031</v>
      </c>
      <c r="I19" s="24">
        <f>4508.89074576139/(13.7603)</f>
        <v>327.67386944771494</v>
      </c>
      <c r="J19" s="24">
        <f>20228.9645816547/(13.7603)</f>
        <v>1470.0961884300984</v>
      </c>
      <c r="K19" s="10">
        <f>98600.8621693534/(13.7603)</f>
        <v>7165.604105241414</v>
      </c>
    </row>
    <row r="20" spans="1:12" ht="12.75">
      <c r="A20" s="9" t="s">
        <v>12</v>
      </c>
      <c r="B20" s="26">
        <v>0</v>
      </c>
      <c r="C20" s="26">
        <v>1.2410652384032326</v>
      </c>
      <c r="D20" s="26">
        <v>2.017477307907531</v>
      </c>
      <c r="E20" s="26">
        <v>1.499630603983925</v>
      </c>
      <c r="F20" s="26">
        <v>0.9710033938213557</v>
      </c>
      <c r="G20" s="26">
        <v>1.348082091233476</v>
      </c>
      <c r="H20" s="26">
        <v>2.471427657827228</v>
      </c>
      <c r="I20" s="26">
        <v>2.037427817707463</v>
      </c>
      <c r="J20" s="26">
        <v>3.8559648408828298</v>
      </c>
      <c r="K20" s="27">
        <v>15.442078951767042</v>
      </c>
      <c r="L20" s="11"/>
    </row>
    <row r="21" spans="1:11" ht="12.75">
      <c r="A21" s="3" t="s">
        <v>11</v>
      </c>
      <c r="B21" s="28">
        <f>B19+B20</f>
        <v>230.39555016861826</v>
      </c>
      <c r="C21" s="28">
        <f aca="true" t="shared" si="1" ref="C21:K21">C19+C20</f>
        <v>493.79231898260963</v>
      </c>
      <c r="D21" s="28">
        <f t="shared" si="1"/>
        <v>1317.8562821585558</v>
      </c>
      <c r="E21" s="28">
        <f t="shared" si="1"/>
        <v>1206.7247389819283</v>
      </c>
      <c r="F21" s="28">
        <f t="shared" si="1"/>
        <v>462.9563594587805</v>
      </c>
      <c r="G21" s="28">
        <f t="shared" si="1"/>
        <v>1057.2147518231534</v>
      </c>
      <c r="H21" s="28">
        <f t="shared" si="1"/>
        <v>608.4427320831303</v>
      </c>
      <c r="I21" s="28">
        <f t="shared" si="1"/>
        <v>329.7112972654224</v>
      </c>
      <c r="J21" s="28">
        <f t="shared" si="1"/>
        <v>1473.9521532709812</v>
      </c>
      <c r="K21" s="28">
        <f t="shared" si="1"/>
        <v>7181.046184193181</v>
      </c>
    </row>
    <row r="22" spans="1:11" ht="12.75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2.75">
      <c r="A23" s="15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 t="s">
        <v>38</v>
      </c>
      <c r="B25" s="14" t="s">
        <v>0</v>
      </c>
      <c r="C25" s="14" t="s">
        <v>1</v>
      </c>
      <c r="D25" s="14" t="s">
        <v>2</v>
      </c>
      <c r="E25" s="14" t="s">
        <v>3</v>
      </c>
      <c r="F25" s="14" t="s">
        <v>4</v>
      </c>
      <c r="G25" s="14" t="s">
        <v>5</v>
      </c>
      <c r="H25" s="14" t="s">
        <v>6</v>
      </c>
      <c r="I25" s="14" t="s">
        <v>7</v>
      </c>
      <c r="J25" s="14" t="s">
        <v>8</v>
      </c>
      <c r="K25" s="14" t="s">
        <v>9</v>
      </c>
    </row>
    <row r="26" spans="1:11" ht="12.75">
      <c r="A26" s="4" t="s">
        <v>46</v>
      </c>
      <c r="B26" s="19">
        <v>25.351554835287022</v>
      </c>
      <c r="C26" s="19">
        <v>51.26479800585742</v>
      </c>
      <c r="D26" s="19">
        <v>137.91959477627668</v>
      </c>
      <c r="E26" s="19">
        <v>124.7879043334811</v>
      </c>
      <c r="F26" s="19">
        <v>45.14392854806945</v>
      </c>
      <c r="G26" s="19">
        <v>110.86829502263758</v>
      </c>
      <c r="H26" s="19">
        <v>59.08548505483164</v>
      </c>
      <c r="I26" s="19">
        <v>31.020035900380076</v>
      </c>
      <c r="J26" s="19">
        <v>144.09882051990144</v>
      </c>
      <c r="K26" s="10">
        <v>729.5404169967225</v>
      </c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15" t="s">
        <v>40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15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5"/>
      <c r="B34" s="6" t="s">
        <v>0</v>
      </c>
      <c r="C34" s="6" t="s">
        <v>1</v>
      </c>
      <c r="D34" s="6" t="s">
        <v>2</v>
      </c>
      <c r="E34" s="6" t="s">
        <v>3</v>
      </c>
      <c r="F34" s="6" t="s">
        <v>4</v>
      </c>
      <c r="G34" s="6" t="s">
        <v>5</v>
      </c>
      <c r="H34" s="6" t="s">
        <v>6</v>
      </c>
      <c r="I34" s="6" t="s">
        <v>7</v>
      </c>
      <c r="J34" s="6" t="s">
        <v>8</v>
      </c>
      <c r="K34" s="6" t="s">
        <v>9</v>
      </c>
    </row>
    <row r="35" spans="1:11" ht="12.75">
      <c r="A35" s="5" t="s">
        <v>44</v>
      </c>
      <c r="B35" s="19">
        <f>92.0077853943554/(13.7603)</f>
        <v>6.686466530116016</v>
      </c>
      <c r="C35" s="19">
        <f>312.055147589/(13.7603)</f>
        <v>22.67793199196235</v>
      </c>
      <c r="D35" s="19">
        <f>557.73980886758/(13.7603)</f>
        <v>40.532532638647396</v>
      </c>
      <c r="E35" s="19">
        <f>535.775475268448/(13.7603)</f>
        <v>38.936322265390146</v>
      </c>
      <c r="F35" s="19">
        <f>346.213726597682/(13.7603)</f>
        <v>25.160332739670093</v>
      </c>
      <c r="G35" s="19">
        <f>480.644263341531/(13.7603)</f>
        <v>34.92978084355218</v>
      </c>
      <c r="H35" s="19">
        <f>533.020751154845/(13.7603)</f>
        <v>38.736128656704054</v>
      </c>
      <c r="I35" s="19">
        <f>176.70636947395/(13.7603)</f>
        <v>12.841752685184893</v>
      </c>
      <c r="J35" s="19">
        <f>638.802157117218/(13.7603)</f>
        <v>46.423563230250615</v>
      </c>
      <c r="K35" s="24">
        <f>3672.96548480461/(13.7603)</f>
        <v>266.9248115814777</v>
      </c>
    </row>
    <row r="36" spans="1:11" ht="12.75">
      <c r="A36" s="5" t="s">
        <v>10</v>
      </c>
      <c r="B36" s="19">
        <f>0.830732288963558/(13.7603)</f>
        <v>0.06037166987373516</v>
      </c>
      <c r="C36" s="19">
        <f>2.81752555969433/(13.7603)</f>
        <v>0.20475756776337226</v>
      </c>
      <c r="D36" s="19">
        <f>5.03579633050362/(13.7603)</f>
        <v>0.36596559162980635</v>
      </c>
      <c r="E36" s="19">
        <f>4.83748179605242/(13.7603)</f>
        <v>0.3515535123545579</v>
      </c>
      <c r="F36" s="19">
        <f>3.12594114002812/(13.7603)</f>
        <v>0.2271710020877542</v>
      </c>
      <c r="G36" s="19">
        <f>4.33970568198687/(13.7603)</f>
        <v>0.3153787113643506</v>
      </c>
      <c r="H36" s="19">
        <f>4.81260957183194/(13.7603)</f>
        <v>0.34974597732839696</v>
      </c>
      <c r="I36" s="19">
        <f>1.59547027632881/(13.7603)</f>
        <v>0.11594734681139275</v>
      </c>
      <c r="J36" s="19">
        <f>5.76770298189783/(13.7603)</f>
        <v>0.4191553223329312</v>
      </c>
      <c r="K36" s="24">
        <f>33.1629656272875/(13.7603)</f>
        <v>2.4100467015462974</v>
      </c>
    </row>
    <row r="37" spans="1:11" ht="12.75">
      <c r="A37" s="17" t="s">
        <v>11</v>
      </c>
      <c r="B37" s="10">
        <f>92.838517683319/(13.7603)</f>
        <v>6.746838199989751</v>
      </c>
      <c r="C37" s="10">
        <f>314.872673148694/(13.7603)</f>
        <v>22.882689559725723</v>
      </c>
      <c r="D37" s="10">
        <f>562.775605198083/(13.7603)</f>
        <v>40.898498230277205</v>
      </c>
      <c r="E37" s="10">
        <f>540.612957064501/(13.7603)</f>
        <v>39.2878757777447</v>
      </c>
      <c r="F37" s="10">
        <f>349.339667737711/(13.7603)</f>
        <v>25.38750374175785</v>
      </c>
      <c r="G37" s="10">
        <f>484.983969023518/(13.7603)</f>
        <v>35.24515955491653</v>
      </c>
      <c r="H37" s="10">
        <f>537.833360726677/(13.7603)</f>
        <v>39.08587463403244</v>
      </c>
      <c r="I37" s="10">
        <f>178.301839750279/(13.7603)</f>
        <v>12.957700031996286</v>
      </c>
      <c r="J37" s="10">
        <f>644.569860099115/(13.7603)</f>
        <v>46.84271855258355</v>
      </c>
      <c r="K37" s="24">
        <f>3706.1284504319/(13.7603)</f>
        <v>269.33485828302406</v>
      </c>
    </row>
    <row r="38" spans="1:11" ht="12.75">
      <c r="A38" s="4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>
      <c r="A39" s="15" t="s">
        <v>17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5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5"/>
      <c r="B41" s="14" t="s">
        <v>0</v>
      </c>
      <c r="C41" s="14" t="s">
        <v>1</v>
      </c>
      <c r="D41" s="14" t="s">
        <v>2</v>
      </c>
      <c r="E41" s="14" t="s">
        <v>3</v>
      </c>
      <c r="F41" s="14" t="s">
        <v>4</v>
      </c>
      <c r="G41" s="14" t="s">
        <v>5</v>
      </c>
      <c r="H41" s="14" t="s">
        <v>6</v>
      </c>
      <c r="I41" s="14" t="s">
        <v>7</v>
      </c>
      <c r="J41" s="14" t="s">
        <v>8</v>
      </c>
      <c r="K41" s="14" t="s">
        <v>9</v>
      </c>
    </row>
    <row r="42" spans="1:11" ht="12.75">
      <c r="A42" s="5" t="s">
        <v>44</v>
      </c>
      <c r="B42" s="19">
        <f>1.10136502521639/(13.7603)</f>
        <v>0.08003931783583121</v>
      </c>
      <c r="C42" s="19">
        <f>9.51094034487712/(13.7603)</f>
        <v>0.6911869904636609</v>
      </c>
      <c r="D42" s="19">
        <f>135.066553219545/(13.7603)</f>
        <v>9.815669223748419</v>
      </c>
      <c r="E42" s="19">
        <f>67.6499466336304/(13.7603)</f>
        <v>4.916313353170379</v>
      </c>
      <c r="F42" s="19">
        <f>46.0799926228247/(13.7603)</f>
        <v>3.348763662334735</v>
      </c>
      <c r="G42" s="19">
        <f>23.1473327333614/(13.7603)</f>
        <v>1.6821822731598424</v>
      </c>
      <c r="H42" s="19">
        <f>10.0522892555767/(13.7603)</f>
        <v>0.730528350077883</v>
      </c>
      <c r="I42" s="19">
        <f>7.43888072116493/(13.7603)</f>
        <v>0.5406045450437074</v>
      </c>
      <c r="J42" s="19">
        <f>633.312890305149/(13.7603)</f>
        <v>46.024642653514015</v>
      </c>
      <c r="K42" s="19">
        <f>933.360190861346/(13.7603)</f>
        <v>67.82993036934847</v>
      </c>
    </row>
    <row r="43" spans="1:11" ht="12.75">
      <c r="A43" s="5" t="s">
        <v>10</v>
      </c>
      <c r="B43" s="19">
        <f>0.211916868572622/(13.7603)</f>
        <v>0.015400599447150302</v>
      </c>
      <c r="C43" s="19">
        <f>1.8300278735212/(13.7603)</f>
        <v>0.13299331217496743</v>
      </c>
      <c r="D43" s="19">
        <f>25.9885508908001/(13.7603)</f>
        <v>1.8886616491501014</v>
      </c>
      <c r="E43" s="19">
        <f>13.0167242662234/(13.7603)</f>
        <v>0.945962244008012</v>
      </c>
      <c r="F43" s="19">
        <f>8.86638627239861/(13.7603)</f>
        <v>0.6443454192422121</v>
      </c>
      <c r="G43" s="19">
        <f>4.45384605135681/(13.7603)</f>
        <v>0.3236736154994301</v>
      </c>
      <c r="H43" s="19">
        <f>1.93419040214165/(13.7603)</f>
        <v>0.14056309834390573</v>
      </c>
      <c r="I43" s="19">
        <f>1.43133681569814/(13.7603)</f>
        <v>0.10401930304558302</v>
      </c>
      <c r="J43" s="19">
        <f>121.857587146255/(13.7603)</f>
        <v>8.855736222775334</v>
      </c>
      <c r="K43" s="19">
        <f>179.590566586968/(13.7603)</f>
        <v>13.051355463686697</v>
      </c>
    </row>
    <row r="44" spans="1:11" ht="12.75">
      <c r="A44" s="17" t="s">
        <v>11</v>
      </c>
      <c r="B44" s="10">
        <f>1.31328189378901/(13.7603)</f>
        <v>0.09543991728298151</v>
      </c>
      <c r="C44" s="10">
        <f>11.3409682183983/(13.7603)</f>
        <v>0.8241803026386285</v>
      </c>
      <c r="D44" s="10">
        <f>161.055104110345/(13.7603)</f>
        <v>11.704330872898518</v>
      </c>
      <c r="E44" s="10">
        <f>80.6666708998538/(13.7603)</f>
        <v>5.862275597178391</v>
      </c>
      <c r="F44" s="10">
        <f>54.9463788952233/(13.7603)</f>
        <v>3.993109081576947</v>
      </c>
      <c r="G44" s="10">
        <f>27.6011787847182/(13.7603)</f>
        <v>2.005855888659273</v>
      </c>
      <c r="H44" s="10">
        <f>11.9864796577183/(13.7603)</f>
        <v>0.8710914484217886</v>
      </c>
      <c r="I44" s="10">
        <f>8.87021753686306/(13.7603)</f>
        <v>0.6446238480892904</v>
      </c>
      <c r="J44" s="10">
        <f>755.170477451404/(13.7603)</f>
        <v>54.88037887628935</v>
      </c>
      <c r="K44" s="10">
        <f>1112.95075744831/(13.7603)</f>
        <v>80.88128583303516</v>
      </c>
    </row>
    <row r="45" spans="1:11" ht="12.75">
      <c r="A45" s="4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.75">
      <c r="A46" s="15" t="s">
        <v>18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2.75">
      <c r="A47" s="5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.75">
      <c r="A48" s="5"/>
      <c r="B48" s="14" t="s">
        <v>0</v>
      </c>
      <c r="C48" s="14" t="s">
        <v>1</v>
      </c>
      <c r="D48" s="14" t="s">
        <v>2</v>
      </c>
      <c r="E48" s="14" t="s">
        <v>3</v>
      </c>
      <c r="F48" s="14" t="s">
        <v>4</v>
      </c>
      <c r="G48" s="14" t="s">
        <v>5</v>
      </c>
      <c r="H48" s="14" t="s">
        <v>6</v>
      </c>
      <c r="I48" s="14" t="s">
        <v>7</v>
      </c>
      <c r="J48" s="14" t="s">
        <v>8</v>
      </c>
      <c r="K48" s="14" t="s">
        <v>9</v>
      </c>
    </row>
    <row r="49" spans="1:11" ht="12.75">
      <c r="A49" s="5" t="s">
        <v>44</v>
      </c>
      <c r="B49" s="19">
        <f>3.60349394033764/(13.7603)</f>
        <v>0.261876117551045</v>
      </c>
      <c r="C49" s="19">
        <f>7.28731088869271/(13.7603)</f>
        <v>0.5295895357436036</v>
      </c>
      <c r="D49" s="19">
        <f>19.6060108339148/(13.7603)</f>
        <v>1.424824374026352</v>
      </c>
      <c r="E49" s="19">
        <f>17.7391726947779/(13.7603)</f>
        <v>1.2891559555226206</v>
      </c>
      <c r="F49" s="19">
        <f>6.41686117295839/(13.7603)</f>
        <v>0.46633148790058254</v>
      </c>
      <c r="G49" s="19">
        <f>15.7602308808211/(13.7603)</f>
        <v>1.145340645249092</v>
      </c>
      <c r="H49" s="19">
        <f>8.39959431803231/(13.7603)</f>
        <v>0.6104223249516587</v>
      </c>
      <c r="I49" s="19">
        <f>4.40954423874631/(13.7603)</f>
        <v>0.3204540772182516</v>
      </c>
      <c r="J49" s="19">
        <f>20.4844689052017/(13.7603)</f>
        <v>1.4886644117644032</v>
      </c>
      <c r="K49" s="19">
        <f>103.706687873483/(13.7603)</f>
        <v>7.53665892992761</v>
      </c>
    </row>
    <row r="50" spans="1:11" ht="12.75">
      <c r="A50" s="5" t="s">
        <v>10</v>
      </c>
      <c r="B50" s="19">
        <f>0.69335881771508/(13.7603)</f>
        <v>0.05038835037863124</v>
      </c>
      <c r="C50" s="19">
        <f>1.40217282053561/(13.7603)</f>
        <v>0.10189987286146426</v>
      </c>
      <c r="D50" s="19">
        <f>3.77244993802833/(13.7603)</f>
        <v>0.2741546287528856</v>
      </c>
      <c r="E50" s="19">
        <f>3.41324614680561/(13.7603)</f>
        <v>0.24805027120089043</v>
      </c>
      <c r="F50" s="19">
        <f>1.23468704262823/(13.7603)</f>
        <v>0.08972820669812631</v>
      </c>
      <c r="G50" s="19">
        <f>3.03247215934513/(13.7603)</f>
        <v>0.2203783463547401</v>
      </c>
      <c r="H50" s="19">
        <f>1.61619053120747/(13.7603)</f>
        <v>0.11745314645810527</v>
      </c>
      <c r="I50" s="19">
        <f>0.848453315215789/(13.7603)</f>
        <v>0.06165950707584781</v>
      </c>
      <c r="J50" s="19">
        <f>3.94147662707077/(13.7603)</f>
        <v>0.286438277295609</v>
      </c>
      <c r="K50" s="19">
        <f>19.954507398552/(13.7603)</f>
        <v>1.4501506070763</v>
      </c>
    </row>
    <row r="51" spans="1:11" ht="12.75">
      <c r="A51" s="17" t="s">
        <v>11</v>
      </c>
      <c r="B51" s="10">
        <f>4.29685275805272/(13.7603)</f>
        <v>0.3122644679296762</v>
      </c>
      <c r="C51" s="10">
        <f>8.68948370922832/(13.7603)</f>
        <v>0.6314894086050679</v>
      </c>
      <c r="D51" s="10">
        <f>23.3784607719431/(13.7603)</f>
        <v>1.6989790027792377</v>
      </c>
      <c r="E51" s="10">
        <f>21.1524188415835/(13.7603)</f>
        <v>1.537206226723511</v>
      </c>
      <c r="F51" s="10">
        <f>7.65154821558661/(13.7603)</f>
        <v>0.5560596945987089</v>
      </c>
      <c r="G51" s="10">
        <f>18.7927030401662/(13.7603)</f>
        <v>1.365718991603832</v>
      </c>
      <c r="H51" s="10">
        <f>10.0157848492398/(13.7603)</f>
        <v>0.7278754714097639</v>
      </c>
      <c r="I51" s="10">
        <f>5.2579975539621/(13.7603)</f>
        <v>0.3821135842940994</v>
      </c>
      <c r="J51" s="10">
        <f>24.4259455322725/(13.7603)</f>
        <v>1.7751026890600121</v>
      </c>
      <c r="K51" s="10">
        <f>123.661195272035/(13.7603)</f>
        <v>8.986809537003909</v>
      </c>
    </row>
  </sheetData>
  <sheetProtection/>
  <printOptions/>
  <pageMargins left="0.62" right="0.55" top="0.984251969" bottom="0.984251969" header="0.4921259845" footer="0.4921259845"/>
  <pageSetup fitToHeight="1" fitToWidth="1" horizontalDpi="300" verticalDpi="3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00390625" style="30" customWidth="1"/>
    <col min="2" max="10" width="8.57421875" style="30" customWidth="1"/>
    <col min="11" max="11" width="9.140625" style="30" bestFit="1" customWidth="1"/>
    <col min="12" max="16384" width="11.421875" style="30" customWidth="1"/>
  </cols>
  <sheetData>
    <row r="1" ht="15.75">
      <c r="A1" s="29" t="s">
        <v>194</v>
      </c>
    </row>
    <row r="2" ht="12.75">
      <c r="A2" s="50"/>
    </row>
    <row r="5" spans="1:11" ht="12.75">
      <c r="A5" s="32" t="s">
        <v>180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34"/>
      <c r="B7" s="35" t="s">
        <v>0</v>
      </c>
      <c r="C7" s="35" t="s">
        <v>1</v>
      </c>
      <c r="D7" s="35" t="s">
        <v>2</v>
      </c>
      <c r="E7" s="35" t="s">
        <v>3</v>
      </c>
      <c r="F7" s="35" t="s">
        <v>4</v>
      </c>
      <c r="G7" s="35" t="s">
        <v>5</v>
      </c>
      <c r="H7" s="35" t="s">
        <v>6</v>
      </c>
      <c r="I7" s="35" t="s">
        <v>7</v>
      </c>
      <c r="J7" s="35" t="s">
        <v>8</v>
      </c>
      <c r="K7" s="35" t="s">
        <v>9</v>
      </c>
    </row>
    <row r="8" spans="1:11" ht="12.75">
      <c r="A8" s="34" t="s">
        <v>181</v>
      </c>
      <c r="B8" s="26">
        <v>282.5022419084362</v>
      </c>
      <c r="C8" s="26">
        <v>670.64211378427</v>
      </c>
      <c r="D8" s="26">
        <v>1812.1399518821572</v>
      </c>
      <c r="E8" s="26">
        <v>1704.9415190023199</v>
      </c>
      <c r="F8" s="26">
        <v>745.7624788658985</v>
      </c>
      <c r="G8" s="26">
        <v>1374.5025263162672</v>
      </c>
      <c r="H8" s="26">
        <v>952.9119741721909</v>
      </c>
      <c r="I8" s="26">
        <v>511.19215754580955</v>
      </c>
      <c r="J8" s="26">
        <v>2832.0224557748193</v>
      </c>
      <c r="K8" s="27">
        <v>10886.61741925217</v>
      </c>
    </row>
    <row r="9" spans="1:11" ht="12.75">
      <c r="A9" s="34" t="s">
        <v>10</v>
      </c>
      <c r="B9" s="26">
        <v>0.018320717385970055</v>
      </c>
      <c r="C9" s="26">
        <v>0.05310105660767295</v>
      </c>
      <c r="D9" s="26">
        <v>0.17120222256123088</v>
      </c>
      <c r="E9" s="26">
        <v>-0.17173101671249605</v>
      </c>
      <c r="F9" s="26">
        <v>0.1835944665322313</v>
      </c>
      <c r="G9" s="26">
        <v>0.054066638776799666</v>
      </c>
      <c r="H9" s="26">
        <v>0.42334851607354357</v>
      </c>
      <c r="I9" s="26">
        <v>0.08925831046677195</v>
      </c>
      <c r="J9" s="26">
        <v>0.1266434410782531</v>
      </c>
      <c r="K9" s="27">
        <v>0.9478043527699773</v>
      </c>
    </row>
    <row r="10" spans="1:11" ht="12.75">
      <c r="A10" s="36" t="s">
        <v>121</v>
      </c>
      <c r="B10" s="27">
        <v>282.52056262582215</v>
      </c>
      <c r="C10" s="27">
        <v>670.6952148408777</v>
      </c>
      <c r="D10" s="27">
        <v>1812.3111541047185</v>
      </c>
      <c r="E10" s="27">
        <v>1704.7697879856073</v>
      </c>
      <c r="F10" s="27">
        <v>745.9460733324307</v>
      </c>
      <c r="G10" s="27">
        <v>1374.556592955044</v>
      </c>
      <c r="H10" s="27">
        <v>953.3353226882645</v>
      </c>
      <c r="I10" s="27">
        <v>511.28141585627634</v>
      </c>
      <c r="J10" s="27">
        <v>2832.1490992158974</v>
      </c>
      <c r="K10" s="27">
        <v>10887.565223604941</v>
      </c>
    </row>
    <row r="11" spans="1:11" ht="12.75">
      <c r="A11" s="36" t="s">
        <v>122</v>
      </c>
      <c r="B11" s="27">
        <v>-6.3759999999999994</v>
      </c>
      <c r="C11" s="27">
        <v>-12.324499999999999</v>
      </c>
      <c r="D11" s="27">
        <v>-35.492000000000004</v>
      </c>
      <c r="E11" s="27">
        <v>-19.788580000000003</v>
      </c>
      <c r="F11" s="27">
        <v>-9.2675</v>
      </c>
      <c r="G11" s="27">
        <v>-27.473764999999997</v>
      </c>
      <c r="H11" s="27">
        <v>-10.549</v>
      </c>
      <c r="I11" s="27">
        <v>-5.8868</v>
      </c>
      <c r="J11" s="27">
        <v>0</v>
      </c>
      <c r="K11" s="27">
        <v>-127.15814499999999</v>
      </c>
    </row>
    <row r="12" spans="1:11" ht="12.75">
      <c r="A12" s="36" t="s">
        <v>123</v>
      </c>
      <c r="B12" s="27">
        <v>276.1445626258222</v>
      </c>
      <c r="C12" s="27">
        <v>658.3707148408778</v>
      </c>
      <c r="D12" s="27">
        <v>1776.8191541047186</v>
      </c>
      <c r="E12" s="27">
        <v>1684.9812079856074</v>
      </c>
      <c r="F12" s="27">
        <v>736.6785733324307</v>
      </c>
      <c r="G12" s="27">
        <v>1347.082827955044</v>
      </c>
      <c r="H12" s="27">
        <v>942.7863226882645</v>
      </c>
      <c r="I12" s="27">
        <v>505.39461585627635</v>
      </c>
      <c r="J12" s="27">
        <v>2832.1490992158974</v>
      </c>
      <c r="K12" s="27">
        <v>10760.407078604941</v>
      </c>
    </row>
    <row r="13" spans="1:11" ht="12.75">
      <c r="A13" s="36" t="s">
        <v>12</v>
      </c>
      <c r="B13" s="26">
        <v>0</v>
      </c>
      <c r="C13" s="26">
        <v>1.02583</v>
      </c>
      <c r="D13" s="26">
        <v>1.119561</v>
      </c>
      <c r="E13" s="26">
        <v>0.857143</v>
      </c>
      <c r="F13" s="26">
        <v>1.082249</v>
      </c>
      <c r="G13" s="26">
        <v>0.369591</v>
      </c>
      <c r="H13" s="26">
        <v>2.357599</v>
      </c>
      <c r="I13" s="26">
        <v>3.360392</v>
      </c>
      <c r="J13" s="26">
        <v>3.229263</v>
      </c>
      <c r="K13" s="27">
        <v>13.401627999999999</v>
      </c>
    </row>
    <row r="14" spans="1:11" ht="12.75">
      <c r="A14" s="32" t="s">
        <v>11</v>
      </c>
      <c r="B14" s="27">
        <v>276.1445626258222</v>
      </c>
      <c r="C14" s="27">
        <v>659.3965448408778</v>
      </c>
      <c r="D14" s="27">
        <v>1777.9387151047185</v>
      </c>
      <c r="E14" s="27">
        <v>1685.8383509856073</v>
      </c>
      <c r="F14" s="27">
        <v>737.7608223324307</v>
      </c>
      <c r="G14" s="27">
        <v>1347.4524189550439</v>
      </c>
      <c r="H14" s="27">
        <v>945.1439216882645</v>
      </c>
      <c r="I14" s="27">
        <v>508.75500785627634</v>
      </c>
      <c r="J14" s="27">
        <v>2835.3783622158976</v>
      </c>
      <c r="K14" s="27">
        <v>10773.808706604941</v>
      </c>
    </row>
    <row r="15" spans="1:11" ht="12.75">
      <c r="A15" s="34"/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spans="1:11" ht="12.75">
      <c r="A16" s="32" t="s">
        <v>182</v>
      </c>
      <c r="B16" s="38"/>
      <c r="C16" s="38"/>
      <c r="D16" s="38"/>
      <c r="E16" s="38"/>
      <c r="F16" s="38"/>
      <c r="G16" s="38"/>
      <c r="H16" s="38"/>
      <c r="I16" s="38"/>
      <c r="J16" s="38"/>
      <c r="K16" s="39"/>
    </row>
    <row r="17" spans="1:11" ht="12.75">
      <c r="A17" s="32"/>
      <c r="B17" s="38"/>
      <c r="C17" s="38"/>
      <c r="D17" s="38"/>
      <c r="E17" s="38"/>
      <c r="F17" s="38"/>
      <c r="G17" s="38"/>
      <c r="H17" s="38"/>
      <c r="I17" s="38"/>
      <c r="J17" s="38"/>
      <c r="K17" s="39"/>
    </row>
    <row r="18" spans="1:11" ht="12.75">
      <c r="A18" s="34"/>
      <c r="B18" s="40" t="s">
        <v>0</v>
      </c>
      <c r="C18" s="40" t="s">
        <v>1</v>
      </c>
      <c r="D18" s="40" t="s">
        <v>2</v>
      </c>
      <c r="E18" s="40" t="s">
        <v>3</v>
      </c>
      <c r="F18" s="40" t="s">
        <v>4</v>
      </c>
      <c r="G18" s="40" t="s">
        <v>5</v>
      </c>
      <c r="H18" s="40" t="s">
        <v>6</v>
      </c>
      <c r="I18" s="40" t="s">
        <v>7</v>
      </c>
      <c r="J18" s="40" t="s">
        <v>8</v>
      </c>
      <c r="K18" s="40" t="s">
        <v>9</v>
      </c>
    </row>
    <row r="19" spans="1:11" ht="12.75">
      <c r="A19" s="34" t="s">
        <v>181</v>
      </c>
      <c r="B19" s="26">
        <v>583.1480202058959</v>
      </c>
      <c r="C19" s="26">
        <v>1168.3699900041886</v>
      </c>
      <c r="D19" s="26">
        <v>3302.1091821921473</v>
      </c>
      <c r="E19" s="26">
        <v>2885.348952091199</v>
      </c>
      <c r="F19" s="26">
        <v>1141.7690757179114</v>
      </c>
      <c r="G19" s="26">
        <v>2479.144741934153</v>
      </c>
      <c r="H19" s="26">
        <v>1508.2452856491996</v>
      </c>
      <c r="I19" s="26">
        <v>802.9223517264211</v>
      </c>
      <c r="J19" s="26">
        <v>3781.600188780822</v>
      </c>
      <c r="K19" s="27">
        <v>17652.657788301934</v>
      </c>
    </row>
    <row r="20" spans="1:11" ht="12.75">
      <c r="A20" s="34" t="s">
        <v>10</v>
      </c>
      <c r="B20" s="26">
        <v>3.5215614910386503</v>
      </c>
      <c r="C20" s="26">
        <v>6.98109116265946</v>
      </c>
      <c r="D20" s="26">
        <v>19.869083145103883</v>
      </c>
      <c r="E20" s="26">
        <v>17.473794968339615</v>
      </c>
      <c r="F20" s="26">
        <v>6.791450269421795</v>
      </c>
      <c r="G20" s="26">
        <v>14.967760397017933</v>
      </c>
      <c r="H20" s="26">
        <v>9.040683255177225</v>
      </c>
      <c r="I20" s="26">
        <v>4.773837761610397</v>
      </c>
      <c r="J20" s="26">
        <v>22.439048347549978</v>
      </c>
      <c r="K20" s="27">
        <v>105.85831079791893</v>
      </c>
    </row>
    <row r="21" spans="1:11" ht="12.75">
      <c r="A21" s="36" t="s">
        <v>121</v>
      </c>
      <c r="B21" s="27">
        <v>586.6695816969345</v>
      </c>
      <c r="C21" s="27">
        <v>1175.351081166848</v>
      </c>
      <c r="D21" s="27">
        <v>3321.9782653372513</v>
      </c>
      <c r="E21" s="27">
        <v>2902.8227470595384</v>
      </c>
      <c r="F21" s="27">
        <v>1148.5605259873332</v>
      </c>
      <c r="G21" s="27">
        <v>2494.112502331171</v>
      </c>
      <c r="H21" s="27">
        <v>1517.285968904377</v>
      </c>
      <c r="I21" s="27">
        <v>807.6961894880315</v>
      </c>
      <c r="J21" s="27">
        <v>3804.039237128372</v>
      </c>
      <c r="K21" s="27">
        <v>17758.516099099852</v>
      </c>
    </row>
    <row r="22" spans="1:11" ht="12.75">
      <c r="A22" s="36" t="s">
        <v>122</v>
      </c>
      <c r="B22" s="27">
        <v>-6.3759999999999994</v>
      </c>
      <c r="C22" s="27">
        <v>-12.324499999999999</v>
      </c>
      <c r="D22" s="27">
        <v>-37.304</v>
      </c>
      <c r="E22" s="27">
        <v>-37.457420000000006</v>
      </c>
      <c r="F22" s="27">
        <v>-9.2675</v>
      </c>
      <c r="G22" s="27">
        <v>-38.818234999999994</v>
      </c>
      <c r="H22" s="27">
        <v>-19.591</v>
      </c>
      <c r="I22" s="27">
        <v>-8.830200000000003</v>
      </c>
      <c r="J22" s="27">
        <v>-74.687</v>
      </c>
      <c r="K22" s="27">
        <v>-244.65585499999997</v>
      </c>
    </row>
    <row r="23" spans="1:11" ht="12.75">
      <c r="A23" s="36" t="s">
        <v>123</v>
      </c>
      <c r="B23" s="27">
        <v>580.2935816969346</v>
      </c>
      <c r="C23" s="27">
        <v>1163.026581166848</v>
      </c>
      <c r="D23" s="27">
        <v>3284.674265337251</v>
      </c>
      <c r="E23" s="27">
        <v>2865.3653270595382</v>
      </c>
      <c r="F23" s="27">
        <v>1139.2930259873333</v>
      </c>
      <c r="G23" s="27">
        <v>2455.294267331171</v>
      </c>
      <c r="H23" s="27">
        <v>1497.694968904377</v>
      </c>
      <c r="I23" s="27">
        <v>798.8659894880315</v>
      </c>
      <c r="J23" s="27">
        <v>3729.352237128372</v>
      </c>
      <c r="K23" s="27">
        <v>17513.86024409985</v>
      </c>
    </row>
    <row r="24" spans="1:11" ht="12.75">
      <c r="A24" s="36" t="s">
        <v>12</v>
      </c>
      <c r="B24" s="26">
        <v>0</v>
      </c>
      <c r="C24" s="26">
        <v>0.794782</v>
      </c>
      <c r="D24" s="26">
        <v>0.8934460000000001</v>
      </c>
      <c r="E24" s="26">
        <v>0.617216</v>
      </c>
      <c r="F24" s="26">
        <v>0.7921670000000001</v>
      </c>
      <c r="G24" s="26">
        <v>0.104004</v>
      </c>
      <c r="H24" s="26">
        <v>1.626565</v>
      </c>
      <c r="I24" s="26">
        <v>3.016787</v>
      </c>
      <c r="J24" s="26">
        <v>3.114185</v>
      </c>
      <c r="K24" s="27">
        <v>10.959152</v>
      </c>
    </row>
    <row r="25" spans="1:11" ht="12.75">
      <c r="A25" s="32" t="s">
        <v>11</v>
      </c>
      <c r="B25" s="27">
        <v>580.2935816969346</v>
      </c>
      <c r="C25" s="27">
        <v>1163.821363166848</v>
      </c>
      <c r="D25" s="27">
        <v>3285.5677113372512</v>
      </c>
      <c r="E25" s="27">
        <v>2865.9825430595383</v>
      </c>
      <c r="F25" s="27">
        <v>1140.0851929873334</v>
      </c>
      <c r="G25" s="27">
        <v>2455.3982713311707</v>
      </c>
      <c r="H25" s="27">
        <v>1499.321533904377</v>
      </c>
      <c r="I25" s="27">
        <v>801.8827764880315</v>
      </c>
      <c r="J25" s="27">
        <v>3732.466422128372</v>
      </c>
      <c r="K25" s="27">
        <v>17524.81939609985</v>
      </c>
    </row>
    <row r="26" spans="1:11" ht="12.75">
      <c r="A26" s="32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2.75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32" t="s">
        <v>148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12.75">
      <c r="A29" s="34"/>
      <c r="B29" s="99" t="s">
        <v>0</v>
      </c>
      <c r="C29" s="99" t="s">
        <v>1</v>
      </c>
      <c r="D29" s="99" t="s">
        <v>2</v>
      </c>
      <c r="E29" s="99" t="s">
        <v>3</v>
      </c>
      <c r="F29" s="99" t="s">
        <v>4</v>
      </c>
      <c r="G29" s="99" t="s">
        <v>5</v>
      </c>
      <c r="H29" s="99" t="s">
        <v>6</v>
      </c>
      <c r="I29" s="99" t="s">
        <v>7</v>
      </c>
      <c r="J29" s="99" t="s">
        <v>8</v>
      </c>
      <c r="K29" s="99" t="s">
        <v>9</v>
      </c>
    </row>
    <row r="30" spans="1:12" ht="12.75">
      <c r="A30" s="34" t="s">
        <v>146</v>
      </c>
      <c r="B30" s="26">
        <v>19.09914642168012</v>
      </c>
      <c r="C30" s="26">
        <v>47.571289605650946</v>
      </c>
      <c r="D30" s="26">
        <v>111.12022334704378</v>
      </c>
      <c r="E30" s="26">
        <v>108.60888615192833</v>
      </c>
      <c r="F30" s="26">
        <v>45.77976497964971</v>
      </c>
      <c r="G30" s="26">
        <v>96.42772707031646</v>
      </c>
      <c r="H30" s="26">
        <v>73.7069209197942</v>
      </c>
      <c r="I30" s="26">
        <v>26.549439076328078</v>
      </c>
      <c r="J30" s="26">
        <v>185.299881144072</v>
      </c>
      <c r="K30" s="26">
        <v>714.1632787164635</v>
      </c>
      <c r="L30" s="45"/>
    </row>
    <row r="31" spans="1:12" ht="12.75">
      <c r="A31" s="34" t="s">
        <v>149</v>
      </c>
      <c r="B31" s="26">
        <v>4.752343073749999</v>
      </c>
      <c r="C31" s="26">
        <v>12.743744237812498</v>
      </c>
      <c r="D31" s="26">
        <v>26.701442363437494</v>
      </c>
      <c r="E31" s="26">
        <v>25.299020748749996</v>
      </c>
      <c r="F31" s="26">
        <v>11.879009961562497</v>
      </c>
      <c r="G31" s="26">
        <v>23.806060716249995</v>
      </c>
      <c r="H31" s="26">
        <v>14.748523489375</v>
      </c>
      <c r="I31" s="26">
        <v>6.867985694062499</v>
      </c>
      <c r="J31" s="26">
        <v>57.974150964999986</v>
      </c>
      <c r="K31" s="26">
        <v>184.77228124999996</v>
      </c>
      <c r="L31" s="45"/>
    </row>
    <row r="32" spans="1:12" ht="12.75">
      <c r="A32" s="34" t="s">
        <v>150</v>
      </c>
      <c r="B32" s="26">
        <v>7.024880961041666</v>
      </c>
      <c r="C32" s="26">
        <v>18.837715392031253</v>
      </c>
      <c r="D32" s="26">
        <v>39.469889101093756</v>
      </c>
      <c r="E32" s="26">
        <v>37.396839081875</v>
      </c>
      <c r="F32" s="26">
        <v>17.55947111140625</v>
      </c>
      <c r="G32" s="26">
        <v>35.18995579395833</v>
      </c>
      <c r="H32" s="26">
        <v>21.801166341770834</v>
      </c>
      <c r="I32" s="26">
        <v>10.152209382656247</v>
      </c>
      <c r="J32" s="26">
        <v>85.69699262583333</v>
      </c>
      <c r="K32" s="26">
        <v>273.12911979166665</v>
      </c>
      <c r="L32" s="45"/>
    </row>
    <row r="33" spans="1:12" ht="12.75">
      <c r="A33" s="34" t="s">
        <v>151</v>
      </c>
      <c r="B33" s="26">
        <v>0.14465526425675201</v>
      </c>
      <c r="C33" s="26">
        <v>0.8682564267349705</v>
      </c>
      <c r="D33" s="26">
        <v>1.080791289206263</v>
      </c>
      <c r="E33" s="26">
        <v>3.188966749020908</v>
      </c>
      <c r="F33" s="26">
        <v>3.968073780316378</v>
      </c>
      <c r="G33" s="26">
        <v>3.555393786694273</v>
      </c>
      <c r="H33" s="26">
        <v>3.125184935357666</v>
      </c>
      <c r="I33" s="26">
        <v>3.738270301367289</v>
      </c>
      <c r="J33" s="26">
        <v>24.550227542569555</v>
      </c>
      <c r="K33" s="26">
        <v>44.219820075524055</v>
      </c>
      <c r="L33" s="45"/>
    </row>
    <row r="34" spans="1:12" ht="12.75">
      <c r="A34" s="34" t="s">
        <v>152</v>
      </c>
      <c r="B34" s="26"/>
      <c r="C34" s="26"/>
      <c r="D34" s="26"/>
      <c r="E34" s="26"/>
      <c r="F34" s="26"/>
      <c r="G34" s="26"/>
      <c r="H34" s="26"/>
      <c r="I34" s="26"/>
      <c r="J34" s="26"/>
      <c r="K34" s="26">
        <v>1.3585946022657216</v>
      </c>
      <c r="L34" s="45"/>
    </row>
    <row r="35" spans="1:12" ht="12.75">
      <c r="A35" s="34" t="s">
        <v>153</v>
      </c>
      <c r="B35" s="26">
        <v>0</v>
      </c>
      <c r="C35" s="26">
        <v>0</v>
      </c>
      <c r="D35" s="26">
        <v>0</v>
      </c>
      <c r="E35" s="26">
        <v>3.544659263333925</v>
      </c>
      <c r="F35" s="26">
        <v>3.2383306850211167</v>
      </c>
      <c r="G35" s="26">
        <v>4.857496027531675</v>
      </c>
      <c r="H35" s="26">
        <v>3.8072266161734745</v>
      </c>
      <c r="I35" s="26">
        <v>0</v>
      </c>
      <c r="J35" s="26">
        <v>28.31351288119814</v>
      </c>
      <c r="K35" s="26">
        <v>43.76122547325833</v>
      </c>
      <c r="L35" s="45"/>
    </row>
    <row r="36" spans="1:12" ht="12.75">
      <c r="A36" s="34" t="s">
        <v>154</v>
      </c>
      <c r="B36" s="26">
        <v>5.377326132789417</v>
      </c>
      <c r="C36" s="26">
        <v>8.628474397824519</v>
      </c>
      <c r="D36" s="26">
        <v>25.3327790503868</v>
      </c>
      <c r="E36" s="26">
        <v>22.225808167300602</v>
      </c>
      <c r="F36" s="26">
        <v>8.328468904094072</v>
      </c>
      <c r="G36" s="26">
        <v>18.89879816892735</v>
      </c>
      <c r="H36" s="26">
        <v>11.263448608147252</v>
      </c>
      <c r="I36" s="26">
        <v>5.854944428026976</v>
      </c>
      <c r="J36" s="26">
        <v>25.757775730011765</v>
      </c>
      <c r="K36" s="26">
        <v>131.66782358750876</v>
      </c>
      <c r="L36" s="45"/>
    </row>
    <row r="37" spans="1:12" ht="12.75">
      <c r="A37" s="34" t="s">
        <v>155</v>
      </c>
      <c r="B37" s="26">
        <v>0.1758543728349897</v>
      </c>
      <c r="C37" s="26">
        <v>2.2747828793597256</v>
      </c>
      <c r="D37" s="26">
        <v>2.141454649979203</v>
      </c>
      <c r="E37" s="26">
        <v>3.333172405091424</v>
      </c>
      <c r="F37" s="26">
        <v>1.980909303603103</v>
      </c>
      <c r="G37" s="26">
        <v>4.443505350464224</v>
      </c>
      <c r="H37" s="26">
        <v>1.6401489854469298</v>
      </c>
      <c r="I37" s="26">
        <v>0.010172053220403923</v>
      </c>
      <c r="J37" s="26">
        <v>0</v>
      </c>
      <c r="K37" s="26">
        <v>16</v>
      </c>
      <c r="L37" s="45"/>
    </row>
    <row r="38" spans="1:12" ht="12.75">
      <c r="A38" s="34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45"/>
    </row>
    <row r="39" spans="1:12" ht="12.75">
      <c r="A39" s="34" t="s">
        <v>184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45"/>
    </row>
    <row r="40" spans="1:12" ht="12.75">
      <c r="A40" s="34" t="s">
        <v>156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45"/>
    </row>
    <row r="41" spans="1:12" ht="12.75">
      <c r="A41" s="34" t="s">
        <v>157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45"/>
    </row>
    <row r="42" spans="1:11" ht="12.75">
      <c r="A42" s="33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ht="12.75">
      <c r="A44" s="51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2.75">
      <c r="A45" s="41" t="s">
        <v>15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12.75">
      <c r="A47" s="41" t="s">
        <v>16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ht="12.75">
      <c r="A48" s="34" t="s">
        <v>14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ht="12.75">
      <c r="A49" s="34"/>
      <c r="B49" s="35" t="s">
        <v>0</v>
      </c>
      <c r="C49" s="35" t="s">
        <v>1</v>
      </c>
      <c r="D49" s="35" t="s">
        <v>2</v>
      </c>
      <c r="E49" s="35" t="s">
        <v>3</v>
      </c>
      <c r="F49" s="35" t="s">
        <v>4</v>
      </c>
      <c r="G49" s="35" t="s">
        <v>5</v>
      </c>
      <c r="H49" s="35" t="s">
        <v>6</v>
      </c>
      <c r="I49" s="35" t="s">
        <v>7</v>
      </c>
      <c r="J49" s="35" t="s">
        <v>8</v>
      </c>
      <c r="K49" s="35" t="s">
        <v>9</v>
      </c>
    </row>
    <row r="50" spans="1:11" ht="12.75">
      <c r="A50" s="34" t="s">
        <v>183</v>
      </c>
      <c r="B50" s="42">
        <v>13.540924953404316</v>
      </c>
      <c r="C50" s="42">
        <v>45.92562810543835</v>
      </c>
      <c r="D50" s="42">
        <v>82.08341134428925</v>
      </c>
      <c r="E50" s="42">
        <v>78.85088714383583</v>
      </c>
      <c r="F50" s="42">
        <v>50.952797848618395</v>
      </c>
      <c r="G50" s="42">
        <v>70.73714328952052</v>
      </c>
      <c r="H50" s="42">
        <v>78.44547022906325</v>
      </c>
      <c r="I50" s="42">
        <v>26.006143692945372</v>
      </c>
      <c r="J50" s="42">
        <v>94.01347975633048</v>
      </c>
      <c r="K50" s="37">
        <v>540.5558863634458</v>
      </c>
    </row>
    <row r="51" spans="1:11" ht="12.75">
      <c r="A51" s="34" t="s">
        <v>10</v>
      </c>
      <c r="B51" s="42">
        <v>0.0707482215956843</v>
      </c>
      <c r="C51" s="42">
        <v>0.23995085456165544</v>
      </c>
      <c r="D51" s="42">
        <v>0.4288669640440785</v>
      </c>
      <c r="E51" s="42">
        <v>0.411977767830831</v>
      </c>
      <c r="F51" s="42">
        <v>0.266216661381608</v>
      </c>
      <c r="G51" s="42">
        <v>0.36958532047948395</v>
      </c>
      <c r="H51" s="42">
        <v>0.40985955760341314</v>
      </c>
      <c r="I51" s="42">
        <v>0.1358761253879602</v>
      </c>
      <c r="J51" s="42">
        <v>0.4911988303361868</v>
      </c>
      <c r="K51" s="37">
        <v>2.8242803032209007</v>
      </c>
    </row>
    <row r="52" spans="1:11" ht="12.75">
      <c r="A52" s="43" t="s">
        <v>11</v>
      </c>
      <c r="B52" s="37">
        <v>13.611673175</v>
      </c>
      <c r="C52" s="37">
        <v>46.165578960000005</v>
      </c>
      <c r="D52" s="37">
        <v>82.51227830833332</v>
      </c>
      <c r="E52" s="37">
        <v>79.26286491166667</v>
      </c>
      <c r="F52" s="37">
        <v>51.21901451</v>
      </c>
      <c r="G52" s="37">
        <v>71.10672861</v>
      </c>
      <c r="H52" s="37">
        <v>78.85532978666666</v>
      </c>
      <c r="I52" s="37">
        <v>26.14201981833333</v>
      </c>
      <c r="J52" s="37">
        <v>94.50467858666667</v>
      </c>
      <c r="K52" s="37">
        <v>543.3801666666666</v>
      </c>
    </row>
    <row r="53" spans="1:11" ht="12.75">
      <c r="A53" s="33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2.75">
      <c r="A54" s="41" t="s">
        <v>17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2.75">
      <c r="A55" s="34" t="s">
        <v>14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2.75">
      <c r="A56" s="34"/>
      <c r="B56" s="40" t="s">
        <v>0</v>
      </c>
      <c r="C56" s="40" t="s">
        <v>1</v>
      </c>
      <c r="D56" s="40" t="s">
        <v>2</v>
      </c>
      <c r="E56" s="40" t="s">
        <v>3</v>
      </c>
      <c r="F56" s="40" t="s">
        <v>4</v>
      </c>
      <c r="G56" s="40" t="s">
        <v>5</v>
      </c>
      <c r="H56" s="40" t="s">
        <v>6</v>
      </c>
      <c r="I56" s="40" t="s">
        <v>7</v>
      </c>
      <c r="J56" s="40" t="s">
        <v>8</v>
      </c>
      <c r="K56" s="40" t="s">
        <v>9</v>
      </c>
    </row>
    <row r="57" spans="1:11" ht="12.75">
      <c r="A57" s="34" t="s">
        <v>183</v>
      </c>
      <c r="B57" s="42">
        <v>0.07117806963999998</v>
      </c>
      <c r="C57" s="42">
        <v>0.6146648556199998</v>
      </c>
      <c r="D57" s="42">
        <v>8.728964794579998</v>
      </c>
      <c r="E57" s="42">
        <v>4.37202244704</v>
      </c>
      <c r="F57" s="42">
        <v>2.9780180492599992</v>
      </c>
      <c r="G57" s="42">
        <v>1.4959458704</v>
      </c>
      <c r="H57" s="42">
        <v>0.6496506864599999</v>
      </c>
      <c r="I57" s="42">
        <v>0.4807535720599999</v>
      </c>
      <c r="J57" s="42">
        <v>40.92919965494</v>
      </c>
      <c r="K57" s="42">
        <v>60.320398</v>
      </c>
    </row>
    <row r="58" spans="1:11" ht="12.75">
      <c r="A58" s="34" t="s">
        <v>10</v>
      </c>
      <c r="B58" s="42">
        <v>0.00020512411999997938</v>
      </c>
      <c r="C58" s="42">
        <v>0.0017713684599999623</v>
      </c>
      <c r="D58" s="42">
        <v>0.025155518140003552</v>
      </c>
      <c r="E58" s="42">
        <v>0.012599488320001911</v>
      </c>
      <c r="F58" s="42">
        <v>0.008582184579999649</v>
      </c>
      <c r="G58" s="42">
        <v>0.004311083200000212</v>
      </c>
      <c r="H58" s="42">
        <v>0.0018721921799998427</v>
      </c>
      <c r="I58" s="42">
        <v>0.001385456980000015</v>
      </c>
      <c r="J58" s="42">
        <v>0.11795158402000379</v>
      </c>
      <c r="K58" s="42">
        <v>0.17383400000000893</v>
      </c>
    </row>
    <row r="59" spans="1:11" ht="12.75">
      <c r="A59" s="43" t="s">
        <v>11</v>
      </c>
      <c r="B59" s="37">
        <v>0.07138319375999996</v>
      </c>
      <c r="C59" s="37">
        <v>0.6164362240799998</v>
      </c>
      <c r="D59" s="37">
        <v>8.754120312720001</v>
      </c>
      <c r="E59" s="37">
        <v>4.384621935360002</v>
      </c>
      <c r="F59" s="37">
        <v>2.986600233839999</v>
      </c>
      <c r="G59" s="37">
        <v>1.5002569536</v>
      </c>
      <c r="H59" s="37">
        <v>0.6515228786399997</v>
      </c>
      <c r="I59" s="37">
        <v>0.48213902903999994</v>
      </c>
      <c r="J59" s="37">
        <v>41.047151238960005</v>
      </c>
      <c r="K59" s="37">
        <v>60.49423200000001</v>
      </c>
    </row>
    <row r="60" spans="1:11" ht="12.75">
      <c r="A60" s="33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12.75">
      <c r="A61" s="41" t="s">
        <v>18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12.75">
      <c r="A62" s="34" t="s">
        <v>14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2.75">
      <c r="A63" s="34"/>
      <c r="B63" s="40" t="s">
        <v>0</v>
      </c>
      <c r="C63" s="40" t="s">
        <v>1</v>
      </c>
      <c r="D63" s="40" t="s">
        <v>2</v>
      </c>
      <c r="E63" s="40" t="s">
        <v>3</v>
      </c>
      <c r="F63" s="40" t="s">
        <v>4</v>
      </c>
      <c r="G63" s="40" t="s">
        <v>5</v>
      </c>
      <c r="H63" s="40" t="s">
        <v>6</v>
      </c>
      <c r="I63" s="40" t="s">
        <v>7</v>
      </c>
      <c r="J63" s="40" t="s">
        <v>8</v>
      </c>
      <c r="K63" s="40" t="s">
        <v>9</v>
      </c>
    </row>
    <row r="64" spans="1:11" ht="12.75">
      <c r="A64" s="34" t="s">
        <v>183</v>
      </c>
      <c r="B64" s="42">
        <v>1.351872733413408</v>
      </c>
      <c r="C64" s="42">
        <v>2.613735342235309</v>
      </c>
      <c r="D64" s="42">
        <v>7.673799198816469</v>
      </c>
      <c r="E64" s="42">
        <v>6.732636343136453</v>
      </c>
      <c r="F64" s="42">
        <v>2.5228577518671074</v>
      </c>
      <c r="G64" s="42">
        <v>5.724819292776901</v>
      </c>
      <c r="H64" s="42">
        <v>3.4119210818992696</v>
      </c>
      <c r="I64" s="42">
        <v>1.7735783259919264</v>
      </c>
      <c r="J64" s="42">
        <v>8.408378596529825</v>
      </c>
      <c r="K64" s="42">
        <v>40.21359866666667</v>
      </c>
    </row>
    <row r="65" spans="1:11" ht="12.75">
      <c r="A65" s="34" t="s">
        <v>10</v>
      </c>
      <c r="B65" s="42">
        <v>0.0038958868398080997</v>
      </c>
      <c r="C65" s="42">
        <v>0.007532378507882185</v>
      </c>
      <c r="D65" s="42">
        <v>0.02211469509745075</v>
      </c>
      <c r="E65" s="42">
        <v>0.019402410210764175</v>
      </c>
      <c r="F65" s="42">
        <v>0.007270483434775088</v>
      </c>
      <c r="G65" s="42">
        <v>0.016498038307712706</v>
      </c>
      <c r="H65" s="42">
        <v>0.009832625596251546</v>
      </c>
      <c r="I65" s="42">
        <v>0.005111176731965315</v>
      </c>
      <c r="J65" s="42">
        <v>0.024231638606710477</v>
      </c>
      <c r="K65" s="42">
        <v>0.11588933333332034</v>
      </c>
    </row>
    <row r="66" spans="1:11" ht="12.75">
      <c r="A66" s="43" t="s">
        <v>11</v>
      </c>
      <c r="B66" s="37">
        <v>1.355768620253216</v>
      </c>
      <c r="C66" s="37">
        <v>2.6212677207431914</v>
      </c>
      <c r="D66" s="37">
        <v>7.69591389391392</v>
      </c>
      <c r="E66" s="37">
        <v>6.752038753347217</v>
      </c>
      <c r="F66" s="37">
        <v>2.5301282353018824</v>
      </c>
      <c r="G66" s="37">
        <v>5.7413173310846135</v>
      </c>
      <c r="H66" s="37">
        <v>3.421753707495521</v>
      </c>
      <c r="I66" s="37">
        <v>1.7786895027238918</v>
      </c>
      <c r="J66" s="37">
        <v>8.432610235136536</v>
      </c>
      <c r="K66" s="37">
        <v>40.32948799999999</v>
      </c>
    </row>
    <row r="68" spans="1:11" ht="12.75">
      <c r="A68" s="41" t="s">
        <v>172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 t="s">
        <v>14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33" t="s">
        <v>62</v>
      </c>
      <c r="B70" s="33"/>
      <c r="C70" s="33"/>
      <c r="D70" s="54">
        <v>0.04118694025357228</v>
      </c>
      <c r="E70" s="33"/>
      <c r="F70" s="33"/>
      <c r="G70" s="33"/>
      <c r="H70" s="33"/>
      <c r="I70" s="33"/>
      <c r="J70" s="33"/>
      <c r="K70" s="33"/>
    </row>
    <row r="71" spans="1:11" ht="12.75">
      <c r="A71" s="33"/>
      <c r="B71" s="40" t="s">
        <v>0</v>
      </c>
      <c r="C71" s="40" t="s">
        <v>1</v>
      </c>
      <c r="D71" s="40" t="s">
        <v>2</v>
      </c>
      <c r="E71" s="40" t="s">
        <v>3</v>
      </c>
      <c r="F71" s="40" t="s">
        <v>4</v>
      </c>
      <c r="G71" s="40" t="s">
        <v>5</v>
      </c>
      <c r="H71" s="40" t="s">
        <v>6</v>
      </c>
      <c r="I71" s="40" t="s">
        <v>7</v>
      </c>
      <c r="J71" s="40" t="s">
        <v>8</v>
      </c>
      <c r="K71" s="40" t="s">
        <v>9</v>
      </c>
    </row>
    <row r="72" spans="1:11" s="45" customFormat="1" ht="12.75">
      <c r="A72" s="51" t="s">
        <v>171</v>
      </c>
      <c r="B72" s="42">
        <v>5.4716341900000005</v>
      </c>
      <c r="C72" s="42">
        <v>27.09154999</v>
      </c>
      <c r="D72" s="42">
        <v>62.50170135857146</v>
      </c>
      <c r="E72" s="42">
        <v>60.21954397857149</v>
      </c>
      <c r="F72" s="42">
        <v>27.578479634285703</v>
      </c>
      <c r="G72" s="42">
        <v>56.85671475142861</v>
      </c>
      <c r="H72" s="42">
        <v>30.3046666957143</v>
      </c>
      <c r="I72" s="42">
        <v>21.673775445714284</v>
      </c>
      <c r="J72" s="42">
        <v>0</v>
      </c>
      <c r="K72" s="42">
        <v>291.69806604428584</v>
      </c>
    </row>
    <row r="73" spans="1:11" ht="12.75">
      <c r="A73" s="51"/>
      <c r="B73" s="42"/>
      <c r="C73" s="42"/>
      <c r="D73" s="42"/>
      <c r="E73" s="42"/>
      <c r="F73" s="42"/>
      <c r="G73" s="42"/>
      <c r="H73" s="42"/>
      <c r="I73" s="42"/>
      <c r="J73" s="42"/>
      <c r="K73" s="42"/>
    </row>
  </sheetData>
  <sheetProtection/>
  <printOptions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00390625" style="30" customWidth="1"/>
    <col min="2" max="10" width="8.57421875" style="30" customWidth="1"/>
    <col min="11" max="11" width="9.140625" style="30" bestFit="1" customWidth="1"/>
    <col min="12" max="16384" width="11.421875" style="30" customWidth="1"/>
  </cols>
  <sheetData>
    <row r="1" ht="15.75">
      <c r="A1" s="29" t="s">
        <v>195</v>
      </c>
    </row>
    <row r="2" ht="12.75">
      <c r="A2" s="50"/>
    </row>
    <row r="5" spans="1:11" ht="12.75">
      <c r="A5" s="32" t="s">
        <v>197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34"/>
      <c r="B7" s="35" t="s">
        <v>0</v>
      </c>
      <c r="C7" s="35" t="s">
        <v>1</v>
      </c>
      <c r="D7" s="35" t="s">
        <v>2</v>
      </c>
      <c r="E7" s="35" t="s">
        <v>3</v>
      </c>
      <c r="F7" s="35" t="s">
        <v>4</v>
      </c>
      <c r="G7" s="35" t="s">
        <v>5</v>
      </c>
      <c r="H7" s="35" t="s">
        <v>6</v>
      </c>
      <c r="I7" s="35" t="s">
        <v>7</v>
      </c>
      <c r="J7" s="35" t="s">
        <v>8</v>
      </c>
      <c r="K7" s="35" t="s">
        <v>9</v>
      </c>
    </row>
    <row r="8" spans="1:11" ht="12.75">
      <c r="A8" s="34" t="s">
        <v>198</v>
      </c>
      <c r="B8" s="26">
        <v>293.85464403413437</v>
      </c>
      <c r="C8" s="26">
        <v>697.5127326857247</v>
      </c>
      <c r="D8" s="26">
        <v>1885.2762315974048</v>
      </c>
      <c r="E8" s="26">
        <v>1773.8615185600588</v>
      </c>
      <c r="F8" s="26">
        <v>775.8608505167971</v>
      </c>
      <c r="G8" s="26">
        <v>1429.813083049565</v>
      </c>
      <c r="H8" s="26">
        <v>991.3258889258265</v>
      </c>
      <c r="I8" s="26">
        <v>532.0107488295515</v>
      </c>
      <c r="J8" s="26">
        <v>2947.3805606018905</v>
      </c>
      <c r="K8" s="27">
        <v>11326.896258800954</v>
      </c>
    </row>
    <row r="9" spans="1:11" ht="12.75">
      <c r="A9" s="34" t="s">
        <v>10</v>
      </c>
      <c r="B9" s="26">
        <v>-0.025059857274754904</v>
      </c>
      <c r="C9" s="26">
        <v>-0.04939899122086354</v>
      </c>
      <c r="D9" s="26">
        <v>-0.10537468690844252</v>
      </c>
      <c r="E9" s="26">
        <v>-0.4398153829644434</v>
      </c>
      <c r="F9" s="26">
        <v>0.07248915167874656</v>
      </c>
      <c r="G9" s="26">
        <v>-0.1575902765528299</v>
      </c>
      <c r="H9" s="26">
        <v>0.28527723759005313</v>
      </c>
      <c r="I9" s="26">
        <v>0.011971212681033648</v>
      </c>
      <c r="J9" s="26">
        <v>-0.3092870089071803</v>
      </c>
      <c r="K9" s="27">
        <v>-0.7167886018786811</v>
      </c>
    </row>
    <row r="10" spans="1:11" ht="12.75">
      <c r="A10" s="36" t="s">
        <v>121</v>
      </c>
      <c r="B10" s="27">
        <v>293.8295841768596</v>
      </c>
      <c r="C10" s="27">
        <v>697.4633336945038</v>
      </c>
      <c r="D10" s="27">
        <v>1885.1708569104965</v>
      </c>
      <c r="E10" s="27">
        <v>1773.4217031770943</v>
      </c>
      <c r="F10" s="27">
        <v>775.9333396684758</v>
      </c>
      <c r="G10" s="27">
        <v>1429.6554927730122</v>
      </c>
      <c r="H10" s="27">
        <v>991.6111661634166</v>
      </c>
      <c r="I10" s="27">
        <v>532.0227200422325</v>
      </c>
      <c r="J10" s="27">
        <v>2947.0712735929833</v>
      </c>
      <c r="K10" s="27">
        <v>11326.179470199077</v>
      </c>
    </row>
    <row r="11" spans="1:11" ht="12.75">
      <c r="A11" s="36" t="s">
        <v>122</v>
      </c>
      <c r="B11" s="27">
        <v>-6.3759999999999994</v>
      </c>
      <c r="C11" s="27">
        <v>-12.324499999999999</v>
      </c>
      <c r="D11" s="27">
        <v>-35.492000000000004</v>
      </c>
      <c r="E11" s="27">
        <v>-19.788580000000003</v>
      </c>
      <c r="F11" s="27">
        <v>-9.2675</v>
      </c>
      <c r="G11" s="27">
        <v>-27.473764999999997</v>
      </c>
      <c r="H11" s="27">
        <v>-10.549</v>
      </c>
      <c r="I11" s="27">
        <v>-5.8868</v>
      </c>
      <c r="J11" s="27">
        <v>0</v>
      </c>
      <c r="K11" s="27">
        <v>-127.15814499999999</v>
      </c>
    </row>
    <row r="12" spans="1:11" ht="12.75">
      <c r="A12" s="36" t="s">
        <v>123</v>
      </c>
      <c r="B12" s="27">
        <v>287.45358417685964</v>
      </c>
      <c r="C12" s="27">
        <v>685.1388336945039</v>
      </c>
      <c r="D12" s="27">
        <v>1849.6788569104965</v>
      </c>
      <c r="E12" s="27">
        <v>1753.6331231770944</v>
      </c>
      <c r="F12" s="27">
        <v>766.6658396684758</v>
      </c>
      <c r="G12" s="27">
        <v>1402.1817277730122</v>
      </c>
      <c r="H12" s="27">
        <v>981.0621661634166</v>
      </c>
      <c r="I12" s="27">
        <v>526.1359200422326</v>
      </c>
      <c r="J12" s="27">
        <v>2947.0712735929833</v>
      </c>
      <c r="K12" s="27">
        <v>11199.021325199077</v>
      </c>
    </row>
    <row r="13" spans="1:11" ht="12.75">
      <c r="A13" s="36" t="s">
        <v>12</v>
      </c>
      <c r="B13" s="26">
        <v>0</v>
      </c>
      <c r="C13" s="26">
        <v>1.091247</v>
      </c>
      <c r="D13" s="26">
        <v>1.18544</v>
      </c>
      <c r="E13" s="26">
        <v>0.9066150000000001</v>
      </c>
      <c r="F13" s="26">
        <v>1.150042</v>
      </c>
      <c r="G13" s="26">
        <v>0.383075</v>
      </c>
      <c r="H13" s="26">
        <v>2.4986129999999998</v>
      </c>
      <c r="I13" s="26">
        <v>3.604446</v>
      </c>
      <c r="J13" s="26">
        <v>3.4578290000000003</v>
      </c>
      <c r="K13" s="27">
        <v>14.277307</v>
      </c>
    </row>
    <row r="14" spans="1:11" ht="12.75">
      <c r="A14" s="32" t="s">
        <v>11</v>
      </c>
      <c r="B14" s="27">
        <v>287.45358417685964</v>
      </c>
      <c r="C14" s="27">
        <v>686.2300806945038</v>
      </c>
      <c r="D14" s="27">
        <v>1850.8642969104965</v>
      </c>
      <c r="E14" s="27">
        <v>1754.5397381770945</v>
      </c>
      <c r="F14" s="27">
        <v>767.8158816684758</v>
      </c>
      <c r="G14" s="27">
        <v>1402.5648027730122</v>
      </c>
      <c r="H14" s="27">
        <v>983.5607791634166</v>
      </c>
      <c r="I14" s="27">
        <v>529.7403660422326</v>
      </c>
      <c r="J14" s="27">
        <v>2950.5291025929832</v>
      </c>
      <c r="K14" s="27">
        <v>11213.298632199077</v>
      </c>
    </row>
    <row r="15" spans="1:11" ht="12.75">
      <c r="A15" s="34"/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spans="1:11" ht="12.75">
      <c r="A16" s="32" t="s">
        <v>199</v>
      </c>
      <c r="B16" s="38"/>
      <c r="C16" s="38"/>
      <c r="D16" s="38"/>
      <c r="E16" s="38"/>
      <c r="F16" s="38"/>
      <c r="G16" s="38"/>
      <c r="H16" s="38"/>
      <c r="I16" s="38"/>
      <c r="J16" s="38"/>
      <c r="K16" s="39"/>
    </row>
    <row r="17" spans="1:11" ht="12.75">
      <c r="A17" s="32"/>
      <c r="B17" s="38"/>
      <c r="C17" s="38"/>
      <c r="D17" s="38"/>
      <c r="E17" s="38"/>
      <c r="F17" s="38"/>
      <c r="G17" s="38"/>
      <c r="H17" s="38"/>
      <c r="I17" s="38"/>
      <c r="J17" s="38"/>
      <c r="K17" s="39"/>
    </row>
    <row r="18" spans="1:11" ht="12.75">
      <c r="A18" s="34"/>
      <c r="B18" s="40" t="s">
        <v>0</v>
      </c>
      <c r="C18" s="40" t="s">
        <v>1</v>
      </c>
      <c r="D18" s="40" t="s">
        <v>2</v>
      </c>
      <c r="E18" s="40" t="s">
        <v>3</v>
      </c>
      <c r="F18" s="40" t="s">
        <v>4</v>
      </c>
      <c r="G18" s="40" t="s">
        <v>5</v>
      </c>
      <c r="H18" s="40" t="s">
        <v>6</v>
      </c>
      <c r="I18" s="40" t="s">
        <v>7</v>
      </c>
      <c r="J18" s="40" t="s">
        <v>8</v>
      </c>
      <c r="K18" s="40" t="s">
        <v>9</v>
      </c>
    </row>
    <row r="19" spans="1:11" ht="12.75">
      <c r="A19" s="34" t="s">
        <v>198</v>
      </c>
      <c r="B19" s="26">
        <v>606.5512999699574</v>
      </c>
      <c r="C19" s="26">
        <v>1214.707722492853</v>
      </c>
      <c r="D19" s="26">
        <v>3434.128143945505</v>
      </c>
      <c r="E19" s="26">
        <v>3001.442490802804</v>
      </c>
      <c r="F19" s="26">
        <v>1186.9214718312608</v>
      </c>
      <c r="G19" s="26">
        <v>2578.479836337148</v>
      </c>
      <c r="H19" s="26">
        <v>1568.3328034087178</v>
      </c>
      <c r="I19" s="26">
        <v>834.6524203713655</v>
      </c>
      <c r="J19" s="26">
        <v>3930.5425814170026</v>
      </c>
      <c r="K19" s="27">
        <v>18355.75877057662</v>
      </c>
    </row>
    <row r="20" spans="1:11" ht="12.75">
      <c r="A20" s="34" t="s">
        <v>10</v>
      </c>
      <c r="B20" s="26">
        <v>3.4232295099486363</v>
      </c>
      <c r="C20" s="26">
        <v>6.786837202241877</v>
      </c>
      <c r="D20" s="26">
        <v>19.314650676711928</v>
      </c>
      <c r="E20" s="26">
        <v>16.98643645593384</v>
      </c>
      <c r="F20" s="26">
        <v>6.601656080662739</v>
      </c>
      <c r="G20" s="26">
        <v>14.551427013299428</v>
      </c>
      <c r="H20" s="26">
        <v>8.7882665614672</v>
      </c>
      <c r="I20" s="26">
        <v>4.640358481615549</v>
      </c>
      <c r="J20" s="26">
        <v>21.816402470028958</v>
      </c>
      <c r="K20" s="27">
        <v>102.90926445191016</v>
      </c>
    </row>
    <row r="21" spans="1:11" ht="12.75">
      <c r="A21" s="36" t="s">
        <v>121</v>
      </c>
      <c r="B21" s="27">
        <v>609.9745294799061</v>
      </c>
      <c r="C21" s="27">
        <v>1221.494559695095</v>
      </c>
      <c r="D21" s="27">
        <v>3453.442794622217</v>
      </c>
      <c r="E21" s="27">
        <v>3018.428927258738</v>
      </c>
      <c r="F21" s="27">
        <v>1193.5231279119234</v>
      </c>
      <c r="G21" s="27">
        <v>2593.0312633504473</v>
      </c>
      <c r="H21" s="27">
        <v>1577.121069970185</v>
      </c>
      <c r="I21" s="27">
        <v>839.292778852981</v>
      </c>
      <c r="J21" s="27">
        <v>3952.3589838870316</v>
      </c>
      <c r="K21" s="27">
        <v>18458.66803502853</v>
      </c>
    </row>
    <row r="22" spans="1:11" ht="12.75">
      <c r="A22" s="36" t="s">
        <v>122</v>
      </c>
      <c r="B22" s="27">
        <v>-6.3759999999999994</v>
      </c>
      <c r="C22" s="27">
        <v>-12.324499999999999</v>
      </c>
      <c r="D22" s="27">
        <v>-37.304</v>
      </c>
      <c r="E22" s="27">
        <v>-37.457420000000006</v>
      </c>
      <c r="F22" s="27">
        <v>-9.2675</v>
      </c>
      <c r="G22" s="27">
        <v>-38.818234999999994</v>
      </c>
      <c r="H22" s="27">
        <v>-19.591</v>
      </c>
      <c r="I22" s="27">
        <v>-8.830200000000003</v>
      </c>
      <c r="J22" s="27">
        <v>-74.687</v>
      </c>
      <c r="K22" s="27">
        <v>-244.65585499999997</v>
      </c>
    </row>
    <row r="23" spans="1:11" ht="12.75">
      <c r="A23" s="36" t="s">
        <v>123</v>
      </c>
      <c r="B23" s="27">
        <v>603.5985294799061</v>
      </c>
      <c r="C23" s="27">
        <v>1209.170059695095</v>
      </c>
      <c r="D23" s="27">
        <v>3416.138794622217</v>
      </c>
      <c r="E23" s="27">
        <v>2980.971507258738</v>
      </c>
      <c r="F23" s="27">
        <v>1184.2556279119235</v>
      </c>
      <c r="G23" s="27">
        <v>2554.213028350447</v>
      </c>
      <c r="H23" s="27">
        <v>1557.5300699701852</v>
      </c>
      <c r="I23" s="27">
        <v>830.462578852981</v>
      </c>
      <c r="J23" s="27">
        <v>3877.6719838870317</v>
      </c>
      <c r="K23" s="27">
        <v>18214.01218002853</v>
      </c>
    </row>
    <row r="24" spans="1:11" ht="12.75">
      <c r="A24" s="36" t="s">
        <v>12</v>
      </c>
      <c r="B24" s="26">
        <v>0</v>
      </c>
      <c r="C24" s="26">
        <v>0.863641</v>
      </c>
      <c r="D24" s="26">
        <v>0.962793</v>
      </c>
      <c r="E24" s="26">
        <v>0.669292</v>
      </c>
      <c r="F24" s="26">
        <v>0.858362</v>
      </c>
      <c r="G24" s="26">
        <v>0.118198</v>
      </c>
      <c r="H24" s="26">
        <v>1.775001</v>
      </c>
      <c r="I24" s="26">
        <v>3.2546880000000002</v>
      </c>
      <c r="J24" s="26">
        <v>3.354781</v>
      </c>
      <c r="K24" s="27">
        <v>11.856756</v>
      </c>
    </row>
    <row r="25" spans="1:11" ht="12.75">
      <c r="A25" s="32" t="s">
        <v>11</v>
      </c>
      <c r="B25" s="27">
        <v>603.5985294799061</v>
      </c>
      <c r="C25" s="27">
        <v>1210.033700695095</v>
      </c>
      <c r="D25" s="27">
        <v>3417.1015876222173</v>
      </c>
      <c r="E25" s="27">
        <v>2981.640799258738</v>
      </c>
      <c r="F25" s="27">
        <v>1185.1139899119235</v>
      </c>
      <c r="G25" s="27">
        <v>2554.331226350447</v>
      </c>
      <c r="H25" s="27">
        <v>1559.3050709701852</v>
      </c>
      <c r="I25" s="27">
        <v>833.717266852981</v>
      </c>
      <c r="J25" s="27">
        <v>3881.0267648870317</v>
      </c>
      <c r="K25" s="27">
        <v>18225.86893602853</v>
      </c>
    </row>
    <row r="26" spans="1:11" ht="12.75">
      <c r="A26" s="32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2.75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32" t="s">
        <v>148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12.75">
      <c r="A29" s="34"/>
      <c r="B29" s="99" t="s">
        <v>0</v>
      </c>
      <c r="C29" s="99" t="s">
        <v>1</v>
      </c>
      <c r="D29" s="99" t="s">
        <v>2</v>
      </c>
      <c r="E29" s="99" t="s">
        <v>3</v>
      </c>
      <c r="F29" s="99" t="s">
        <v>4</v>
      </c>
      <c r="G29" s="99" t="s">
        <v>5</v>
      </c>
      <c r="H29" s="99" t="s">
        <v>6</v>
      </c>
      <c r="I29" s="99" t="s">
        <v>7</v>
      </c>
      <c r="J29" s="99" t="s">
        <v>8</v>
      </c>
      <c r="K29" s="99" t="s">
        <v>9</v>
      </c>
    </row>
    <row r="30" spans="1:12" ht="12.75">
      <c r="A30" s="34" t="s">
        <v>146</v>
      </c>
      <c r="B30" s="26">
        <v>19.9246992974815</v>
      </c>
      <c r="C30" s="26">
        <v>49.61044658838228</v>
      </c>
      <c r="D30" s="26">
        <v>115.84460633906475</v>
      </c>
      <c r="E30" s="26">
        <v>113.06497874508342</v>
      </c>
      <c r="F30" s="26">
        <v>47.653688649254605</v>
      </c>
      <c r="G30" s="26">
        <v>100.39019919838329</v>
      </c>
      <c r="H30" s="26">
        <v>76.11560898356048</v>
      </c>
      <c r="I30" s="26">
        <v>27.692111293965954</v>
      </c>
      <c r="J30" s="26">
        <v>193.0898260945922</v>
      </c>
      <c r="K30" s="26">
        <v>743.3861651897685</v>
      </c>
      <c r="L30" s="45"/>
    </row>
    <row r="31" spans="1:12" ht="12.75">
      <c r="A31" s="34" t="s">
        <v>149</v>
      </c>
      <c r="B31" s="26">
        <v>4.887743441749999</v>
      </c>
      <c r="C31" s="26">
        <v>13.1068299058125</v>
      </c>
      <c r="D31" s="26">
        <v>27.462200807437497</v>
      </c>
      <c r="E31" s="26">
        <v>26.01982239675</v>
      </c>
      <c r="F31" s="26">
        <v>12.217458237562496</v>
      </c>
      <c r="G31" s="26">
        <v>24.484326012249998</v>
      </c>
      <c r="H31" s="26">
        <v>15.168727897374996</v>
      </c>
      <c r="I31" s="26">
        <v>7.063663442062498</v>
      </c>
      <c r="J31" s="26">
        <v>59.625909109</v>
      </c>
      <c r="K31" s="26">
        <v>190.03668124999996</v>
      </c>
      <c r="L31" s="45"/>
    </row>
    <row r="32" spans="1:12" ht="12.75">
      <c r="A32" s="34" t="s">
        <v>150</v>
      </c>
      <c r="B32" s="26">
        <v>7.225028857041666</v>
      </c>
      <c r="C32" s="26">
        <v>19.374426138031247</v>
      </c>
      <c r="D32" s="26">
        <v>40.594437019093746</v>
      </c>
      <c r="E32" s="26">
        <v>38.462323137875</v>
      </c>
      <c r="F32" s="26">
        <v>18.059763033406252</v>
      </c>
      <c r="G32" s="26">
        <v>36.19256290595833</v>
      </c>
      <c r="H32" s="26">
        <v>22.422309617770836</v>
      </c>
      <c r="I32" s="26">
        <v>10.44145888865625</v>
      </c>
      <c r="J32" s="26">
        <v>88.13861019383333</v>
      </c>
      <c r="K32" s="26">
        <v>280.91091979166663</v>
      </c>
      <c r="L32" s="45"/>
    </row>
    <row r="33" spans="1:12" ht="12.75">
      <c r="A33" s="34" t="s">
        <v>151</v>
      </c>
      <c r="B33" s="26">
        <v>0.14844009245957496</v>
      </c>
      <c r="C33" s="26">
        <v>0.8909738952493278</v>
      </c>
      <c r="D33" s="26">
        <v>1.1090696195786214</v>
      </c>
      <c r="E33" s="26">
        <v>3.272404371229639</v>
      </c>
      <c r="F33" s="26">
        <v>4.071896324430411</v>
      </c>
      <c r="G33" s="26">
        <v>3.6484187778355395</v>
      </c>
      <c r="H33" s="26">
        <v>3.206953740268801</v>
      </c>
      <c r="I33" s="26">
        <v>3.836080159439771</v>
      </c>
      <c r="J33" s="26">
        <v>25.192571214376166</v>
      </c>
      <c r="K33" s="26">
        <v>45.37680819486785</v>
      </c>
      <c r="L33" s="45"/>
    </row>
    <row r="34" spans="1:12" ht="12.75">
      <c r="A34" s="34" t="s">
        <v>152</v>
      </c>
      <c r="B34" s="26"/>
      <c r="C34" s="26"/>
      <c r="D34" s="26"/>
      <c r="E34" s="26"/>
      <c r="F34" s="26"/>
      <c r="G34" s="26"/>
      <c r="H34" s="26"/>
      <c r="I34" s="26"/>
      <c r="J34" s="26"/>
      <c r="K34" s="26">
        <v>1.3933042458460354</v>
      </c>
      <c r="L34" s="45"/>
    </row>
    <row r="35" spans="1:12" ht="12.75">
      <c r="A35" s="34" t="s">
        <v>153</v>
      </c>
      <c r="B35" s="26">
        <v>0</v>
      </c>
      <c r="C35" s="26">
        <v>0</v>
      </c>
      <c r="D35" s="26">
        <v>0</v>
      </c>
      <c r="E35" s="26">
        <v>3.6355638198707676</v>
      </c>
      <c r="F35" s="26">
        <v>3.3213792922276144</v>
      </c>
      <c r="G35" s="26">
        <v>4.982068938341422</v>
      </c>
      <c r="H35" s="26">
        <v>3.904864843564898</v>
      </c>
      <c r="I35" s="26">
        <v>0</v>
      </c>
      <c r="J35" s="26">
        <v>29.039627055017117</v>
      </c>
      <c r="K35" s="26">
        <v>44.883503949021815</v>
      </c>
      <c r="L35" s="45"/>
    </row>
    <row r="36" spans="1:12" ht="12.75">
      <c r="A36" s="34" t="s">
        <v>154</v>
      </c>
      <c r="B36" s="26">
        <v>5.601538694122665</v>
      </c>
      <c r="C36" s="26">
        <v>8.98914652853803</v>
      </c>
      <c r="D36" s="26">
        <v>26.391694795596777</v>
      </c>
      <c r="E36" s="26">
        <v>23.15485184512054</v>
      </c>
      <c r="F36" s="26">
        <v>8.676600739077346</v>
      </c>
      <c r="G36" s="26">
        <v>19.688772095862824</v>
      </c>
      <c r="H36" s="26">
        <v>11.734263241346701</v>
      </c>
      <c r="I36" s="26">
        <v>6.09968239498416</v>
      </c>
      <c r="J36" s="26">
        <v>26.9180568706657</v>
      </c>
      <c r="K36" s="26">
        <v>137.25460720531473</v>
      </c>
      <c r="L36" s="45"/>
    </row>
    <row r="37" spans="1:12" ht="12.75">
      <c r="A37" s="34" t="s">
        <v>155</v>
      </c>
      <c r="B37" s="26">
        <v>0.1758543728349897</v>
      </c>
      <c r="C37" s="26">
        <v>2.2747828793597256</v>
      </c>
      <c r="D37" s="26">
        <v>2.141454649979203</v>
      </c>
      <c r="E37" s="26">
        <v>3.333172405091424</v>
      </c>
      <c r="F37" s="26">
        <v>1.980909303603103</v>
      </c>
      <c r="G37" s="26">
        <v>4.443505350464224</v>
      </c>
      <c r="H37" s="26">
        <v>1.6401489854469298</v>
      </c>
      <c r="I37" s="26">
        <v>0.010172053220403923</v>
      </c>
      <c r="J37" s="26">
        <v>0</v>
      </c>
      <c r="K37" s="26">
        <v>16</v>
      </c>
      <c r="L37" s="45"/>
    </row>
    <row r="38" spans="1:12" ht="12.75">
      <c r="A38" s="34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45"/>
    </row>
    <row r="39" spans="1:12" ht="12.75">
      <c r="A39" s="34" t="s">
        <v>184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45"/>
    </row>
    <row r="40" spans="1:12" ht="12.75">
      <c r="A40" s="34" t="s">
        <v>156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45"/>
    </row>
    <row r="41" spans="1:12" ht="12.75">
      <c r="A41" s="34" t="s">
        <v>157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45"/>
    </row>
    <row r="42" spans="1:11" ht="12.75">
      <c r="A42" s="33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ht="12.75">
      <c r="A44" s="51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2.75">
      <c r="A45" s="41" t="s">
        <v>15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12.75">
      <c r="A47" s="41" t="s">
        <v>16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ht="12.75">
      <c r="A48" s="34" t="s">
        <v>14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ht="12.75">
      <c r="A49" s="34"/>
      <c r="B49" s="35" t="s">
        <v>0</v>
      </c>
      <c r="C49" s="35" t="s">
        <v>1</v>
      </c>
      <c r="D49" s="35" t="s">
        <v>2</v>
      </c>
      <c r="E49" s="35" t="s">
        <v>3</v>
      </c>
      <c r="F49" s="35" t="s">
        <v>4</v>
      </c>
      <c r="G49" s="35" t="s">
        <v>5</v>
      </c>
      <c r="H49" s="35" t="s">
        <v>6</v>
      </c>
      <c r="I49" s="35" t="s">
        <v>7</v>
      </c>
      <c r="J49" s="35" t="s">
        <v>8</v>
      </c>
      <c r="K49" s="35" t="s">
        <v>9</v>
      </c>
    </row>
    <row r="50" spans="1:11" ht="12.75">
      <c r="A50" s="34" t="s">
        <v>200</v>
      </c>
      <c r="B50" s="42">
        <v>13.929083888404318</v>
      </c>
      <c r="C50" s="42">
        <v>47.24211445743836</v>
      </c>
      <c r="D50" s="42">
        <v>84.43638277262261</v>
      </c>
      <c r="E50" s="42">
        <v>81.11119627950251</v>
      </c>
      <c r="F50" s="42">
        <v>52.41339111061839</v>
      </c>
      <c r="G50" s="42">
        <v>72.76486697152053</v>
      </c>
      <c r="H50" s="42">
        <v>80.69415783972991</v>
      </c>
      <c r="I50" s="42">
        <v>26.751625783278712</v>
      </c>
      <c r="J50" s="42">
        <v>96.70843392699717</v>
      </c>
      <c r="K50" s="37">
        <v>556.0512530301125</v>
      </c>
    </row>
    <row r="51" spans="1:11" ht="12.75">
      <c r="A51" s="34" t="s">
        <v>10</v>
      </c>
      <c r="B51" s="42">
        <v>0.07040336659568493</v>
      </c>
      <c r="C51" s="42">
        <v>0.2387812385616562</v>
      </c>
      <c r="D51" s="42">
        <v>0.426776495710772</v>
      </c>
      <c r="E51" s="42">
        <v>0.40996962416417954</v>
      </c>
      <c r="F51" s="42">
        <v>0.2649190153816162</v>
      </c>
      <c r="G51" s="42">
        <v>0.36778381447949504</v>
      </c>
      <c r="H51" s="42">
        <v>0.40786173893677186</v>
      </c>
      <c r="I51" s="42">
        <v>0.13521381105463298</v>
      </c>
      <c r="J51" s="42">
        <v>0.48880453166952065</v>
      </c>
      <c r="K51" s="37">
        <v>2.8105136365543295</v>
      </c>
    </row>
    <row r="52" spans="1:11" ht="12.75">
      <c r="A52" s="43" t="s">
        <v>11</v>
      </c>
      <c r="B52" s="37">
        <v>13.999487255000002</v>
      </c>
      <c r="C52" s="37">
        <v>47.48089569600002</v>
      </c>
      <c r="D52" s="37">
        <v>84.86315926833338</v>
      </c>
      <c r="E52" s="37">
        <v>81.52116590366668</v>
      </c>
      <c r="F52" s="37">
        <v>52.67831012600001</v>
      </c>
      <c r="G52" s="37">
        <v>73.13265078600003</v>
      </c>
      <c r="H52" s="37">
        <v>81.10201957866668</v>
      </c>
      <c r="I52" s="37">
        <v>26.886839594333345</v>
      </c>
      <c r="J52" s="37">
        <v>97.19723845866669</v>
      </c>
      <c r="K52" s="37">
        <v>558.8617666666669</v>
      </c>
    </row>
    <row r="53" spans="1:11" ht="12.75">
      <c r="A53" s="33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2.75">
      <c r="A54" s="41" t="s">
        <v>17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2.75">
      <c r="A55" s="34" t="s">
        <v>14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2.75">
      <c r="A56" s="34"/>
      <c r="B56" s="40" t="s">
        <v>0</v>
      </c>
      <c r="C56" s="40" t="s">
        <v>1</v>
      </c>
      <c r="D56" s="40" t="s">
        <v>2</v>
      </c>
      <c r="E56" s="40" t="s">
        <v>3</v>
      </c>
      <c r="F56" s="40" t="s">
        <v>4</v>
      </c>
      <c r="G56" s="40" t="s">
        <v>5</v>
      </c>
      <c r="H56" s="40" t="s">
        <v>6</v>
      </c>
      <c r="I56" s="40" t="s">
        <v>7</v>
      </c>
      <c r="J56" s="40" t="s">
        <v>8</v>
      </c>
      <c r="K56" s="40" t="s">
        <v>9</v>
      </c>
    </row>
    <row r="57" spans="1:11" ht="12.75">
      <c r="A57" s="34" t="s">
        <v>200</v>
      </c>
      <c r="B57" s="42">
        <v>0.07240881435999999</v>
      </c>
      <c r="C57" s="42">
        <v>0.6252930663799997</v>
      </c>
      <c r="D57" s="42">
        <v>8.87989790342</v>
      </c>
      <c r="E57" s="42">
        <v>4.44761937696</v>
      </c>
      <c r="F57" s="42">
        <v>3.0295111567399995</v>
      </c>
      <c r="G57" s="42">
        <v>1.5218123696000003</v>
      </c>
      <c r="H57" s="42">
        <v>0.66088383954</v>
      </c>
      <c r="I57" s="42">
        <v>0.48906631394000005</v>
      </c>
      <c r="J57" s="42">
        <v>41.636909159060004</v>
      </c>
      <c r="K57" s="42">
        <v>61.363402</v>
      </c>
    </row>
    <row r="58" spans="1:11" ht="12.75">
      <c r="A58" s="34" t="s">
        <v>10</v>
      </c>
      <c r="B58" s="42">
        <v>0.00020512412000002201</v>
      </c>
      <c r="C58" s="42">
        <v>0.0017713684600001898</v>
      </c>
      <c r="D58" s="42">
        <v>0.02515551814000173</v>
      </c>
      <c r="E58" s="42">
        <v>0.012599488320001</v>
      </c>
      <c r="F58" s="42">
        <v>0.008582184580001012</v>
      </c>
      <c r="G58" s="42">
        <v>0.004311083200000212</v>
      </c>
      <c r="H58" s="42">
        <v>0.0018721921800000701</v>
      </c>
      <c r="I58" s="42">
        <v>0.0013854569800001285</v>
      </c>
      <c r="J58" s="42">
        <v>0.11795158401999652</v>
      </c>
      <c r="K58" s="42">
        <v>0.17383400000000088</v>
      </c>
    </row>
    <row r="59" spans="1:11" ht="12.75">
      <c r="A59" s="43" t="s">
        <v>11</v>
      </c>
      <c r="B59" s="37">
        <v>0.07261393848000001</v>
      </c>
      <c r="C59" s="37">
        <v>0.6270644348399999</v>
      </c>
      <c r="D59" s="37">
        <v>8.905053421560002</v>
      </c>
      <c r="E59" s="37">
        <v>4.460218865280001</v>
      </c>
      <c r="F59" s="37">
        <v>3.0380933413200006</v>
      </c>
      <c r="G59" s="37">
        <v>1.5261234528000005</v>
      </c>
      <c r="H59" s="37">
        <v>0.6627560317200001</v>
      </c>
      <c r="I59" s="37">
        <v>0.4904517709200002</v>
      </c>
      <c r="J59" s="37">
        <v>41.75486074308</v>
      </c>
      <c r="K59" s="37">
        <v>61.53723600000001</v>
      </c>
    </row>
    <row r="60" spans="1:11" ht="12.75">
      <c r="A60" s="33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12.75">
      <c r="A61" s="41" t="s">
        <v>18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12.75">
      <c r="A62" s="34" t="s">
        <v>14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2.75">
      <c r="A63" s="34"/>
      <c r="B63" s="40" t="s">
        <v>0</v>
      </c>
      <c r="C63" s="40" t="s">
        <v>1</v>
      </c>
      <c r="D63" s="40" t="s">
        <v>2</v>
      </c>
      <c r="E63" s="40" t="s">
        <v>3</v>
      </c>
      <c r="F63" s="40" t="s">
        <v>4</v>
      </c>
      <c r="G63" s="40" t="s">
        <v>5</v>
      </c>
      <c r="H63" s="40" t="s">
        <v>6</v>
      </c>
      <c r="I63" s="40" t="s">
        <v>7</v>
      </c>
      <c r="J63" s="40" t="s">
        <v>8</v>
      </c>
      <c r="K63" s="40" t="s">
        <v>9</v>
      </c>
    </row>
    <row r="64" spans="1:11" ht="12.75">
      <c r="A64" s="34" t="s">
        <v>200</v>
      </c>
      <c r="B64" s="42">
        <v>1.3752480544522563</v>
      </c>
      <c r="C64" s="42">
        <v>2.658929613282605</v>
      </c>
      <c r="D64" s="42">
        <v>7.806487369401191</v>
      </c>
      <c r="E64" s="42">
        <v>6.849050804401059</v>
      </c>
      <c r="F64" s="42">
        <v>2.5664806524757586</v>
      </c>
      <c r="G64" s="42">
        <v>5.823807522623188</v>
      </c>
      <c r="H64" s="42">
        <v>3.470916835476777</v>
      </c>
      <c r="I64" s="42">
        <v>1.804245386383718</v>
      </c>
      <c r="J64" s="42">
        <v>8.55376842817011</v>
      </c>
      <c r="K64" s="42">
        <v>40.90893466666666</v>
      </c>
    </row>
    <row r="65" spans="1:11" ht="12.75">
      <c r="A65" s="34" t="s">
        <v>10</v>
      </c>
      <c r="B65" s="42">
        <v>0.003895886839808327</v>
      </c>
      <c r="C65" s="42">
        <v>0.007532378507882641</v>
      </c>
      <c r="D65" s="42">
        <v>0.022114695097455297</v>
      </c>
      <c r="E65" s="42">
        <v>0.01940241021076781</v>
      </c>
      <c r="F65" s="42">
        <v>0.007270483434775088</v>
      </c>
      <c r="G65" s="42">
        <v>0.016498038307715433</v>
      </c>
      <c r="H65" s="42">
        <v>0.009832625596250637</v>
      </c>
      <c r="I65" s="42">
        <v>0.005111176731965315</v>
      </c>
      <c r="J65" s="42">
        <v>0.024231638606715934</v>
      </c>
      <c r="K65" s="42">
        <v>0.11588933333333648</v>
      </c>
    </row>
    <row r="66" spans="1:11" ht="12.75">
      <c r="A66" s="43" t="s">
        <v>11</v>
      </c>
      <c r="B66" s="37">
        <v>1.3791439412920645</v>
      </c>
      <c r="C66" s="37">
        <v>2.6664619917904875</v>
      </c>
      <c r="D66" s="37">
        <v>7.8286020644986465</v>
      </c>
      <c r="E66" s="37">
        <v>6.868453214611827</v>
      </c>
      <c r="F66" s="37">
        <v>2.5737511359105336</v>
      </c>
      <c r="G66" s="37">
        <v>5.840305560930903</v>
      </c>
      <c r="H66" s="37">
        <v>3.4807494610730276</v>
      </c>
      <c r="I66" s="37">
        <v>1.8093565631156834</v>
      </c>
      <c r="J66" s="37">
        <v>8.578000066776827</v>
      </c>
      <c r="K66" s="37">
        <v>41.024823999999995</v>
      </c>
    </row>
    <row r="68" spans="1:11" ht="12.75">
      <c r="A68" s="41" t="s">
        <v>172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 t="s">
        <v>14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33" t="s">
        <v>62</v>
      </c>
      <c r="B70" s="33"/>
      <c r="C70" s="33"/>
      <c r="D70" s="54">
        <v>0.03894563163152043</v>
      </c>
      <c r="E70" s="33"/>
      <c r="F70" s="33"/>
      <c r="G70" s="33"/>
      <c r="H70" s="33"/>
      <c r="I70" s="33"/>
      <c r="J70" s="33"/>
      <c r="K70" s="33"/>
    </row>
    <row r="71" spans="1:11" ht="12.75">
      <c r="A71" s="33"/>
      <c r="B71" s="40" t="s">
        <v>0</v>
      </c>
      <c r="C71" s="40" t="s">
        <v>1</v>
      </c>
      <c r="D71" s="40" t="s">
        <v>2</v>
      </c>
      <c r="E71" s="40" t="s">
        <v>3</v>
      </c>
      <c r="F71" s="40" t="s">
        <v>4</v>
      </c>
      <c r="G71" s="40" t="s">
        <v>5</v>
      </c>
      <c r="H71" s="40" t="s">
        <v>6</v>
      </c>
      <c r="I71" s="40" t="s">
        <v>7</v>
      </c>
      <c r="J71" s="40" t="s">
        <v>8</v>
      </c>
      <c r="K71" s="40" t="s">
        <v>9</v>
      </c>
    </row>
    <row r="72" spans="1:11" s="45" customFormat="1" ht="12.75">
      <c r="A72" s="51" t="s">
        <v>171</v>
      </c>
      <c r="B72" s="42">
        <v>5.685026009999999</v>
      </c>
      <c r="C72" s="42">
        <v>28.148096860000013</v>
      </c>
      <c r="D72" s="42">
        <v>64.93574738142858</v>
      </c>
      <c r="E72" s="42">
        <v>62.56828496714286</v>
      </c>
      <c r="F72" s="42">
        <v>28.65280716857142</v>
      </c>
      <c r="G72" s="42">
        <v>59.06655461000004</v>
      </c>
      <c r="H72" s="42">
        <v>31.484125419999994</v>
      </c>
      <c r="I72" s="42">
        <v>22.516581637142856</v>
      </c>
      <c r="J72" s="42">
        <v>0</v>
      </c>
      <c r="K72" s="42">
        <v>303.05722405428577</v>
      </c>
    </row>
    <row r="73" spans="1:11" ht="12.75">
      <c r="A73" s="51"/>
      <c r="B73" s="42"/>
      <c r="C73" s="42"/>
      <c r="D73" s="42"/>
      <c r="E73" s="42"/>
      <c r="F73" s="42"/>
      <c r="G73" s="42"/>
      <c r="H73" s="42"/>
      <c r="I73" s="42"/>
      <c r="J73" s="42"/>
      <c r="K73" s="42"/>
    </row>
  </sheetData>
  <sheetProtection/>
  <printOptions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7109375" style="58" customWidth="1"/>
    <col min="2" max="2" width="11.421875" style="58" customWidth="1"/>
    <col min="3" max="6" width="12.8515625" style="58" customWidth="1"/>
    <col min="7" max="16384" width="11.421875" style="58" customWidth="1"/>
  </cols>
  <sheetData>
    <row r="1" spans="1:6" ht="12.75">
      <c r="A1" s="55" t="s">
        <v>117</v>
      </c>
      <c r="B1" s="56"/>
      <c r="C1" s="56"/>
      <c r="D1" s="56"/>
      <c r="E1" s="56"/>
      <c r="F1" s="57"/>
    </row>
    <row r="2" spans="1:6" ht="12.75">
      <c r="A2" s="59" t="s">
        <v>80</v>
      </c>
      <c r="B2" s="60"/>
      <c r="C2" s="60"/>
      <c r="D2" s="60"/>
      <c r="E2" s="60"/>
      <c r="F2" s="61"/>
    </row>
    <row r="3" spans="1:6" ht="12.75">
      <c r="A3" s="62"/>
      <c r="B3" s="63" t="s">
        <v>81</v>
      </c>
      <c r="C3" s="63" t="s">
        <v>82</v>
      </c>
      <c r="D3" s="63" t="s">
        <v>83</v>
      </c>
      <c r="E3" s="63" t="s">
        <v>84</v>
      </c>
      <c r="F3" s="64" t="s">
        <v>85</v>
      </c>
    </row>
    <row r="4" spans="1:6" ht="12.75">
      <c r="A4" s="62"/>
      <c r="B4" s="65">
        <v>9300</v>
      </c>
      <c r="C4" s="65">
        <v>18000</v>
      </c>
      <c r="D4" s="65">
        <v>45000</v>
      </c>
      <c r="E4" s="65">
        <v>50000</v>
      </c>
      <c r="F4" s="66" t="s">
        <v>86</v>
      </c>
    </row>
    <row r="5" spans="1:6" ht="12.75">
      <c r="A5" s="62"/>
      <c r="B5" s="65"/>
      <c r="C5" s="65"/>
      <c r="D5" s="65"/>
      <c r="E5" s="65"/>
      <c r="F5" s="66"/>
    </row>
    <row r="6" spans="1:6" ht="12.75">
      <c r="A6" s="62" t="s">
        <v>87</v>
      </c>
      <c r="B6" s="67">
        <v>9.32</v>
      </c>
      <c r="C6" s="67">
        <v>0</v>
      </c>
      <c r="D6" s="67">
        <v>53.13</v>
      </c>
      <c r="E6" s="67">
        <v>0</v>
      </c>
      <c r="F6" s="61"/>
    </row>
    <row r="7" spans="1:6" ht="12.75">
      <c r="A7" s="62" t="s">
        <v>88</v>
      </c>
      <c r="B7" s="67">
        <v>7.24</v>
      </c>
      <c r="C7" s="67">
        <v>40.48</v>
      </c>
      <c r="D7" s="67">
        <v>39.85</v>
      </c>
      <c r="E7" s="67">
        <v>40.91</v>
      </c>
      <c r="F7" s="68"/>
    </row>
    <row r="8" spans="1:6" ht="12.75">
      <c r="A8" s="62" t="s">
        <v>89</v>
      </c>
      <c r="B8" s="67">
        <v>4.59</v>
      </c>
      <c r="C8" s="67">
        <v>49.06</v>
      </c>
      <c r="D8" s="67">
        <v>50.15</v>
      </c>
      <c r="E8" s="67">
        <v>0</v>
      </c>
      <c r="F8" s="69">
        <v>90.22</v>
      </c>
    </row>
    <row r="9" spans="1:6" ht="12.75">
      <c r="A9" s="62" t="s">
        <v>90</v>
      </c>
      <c r="B9" s="67">
        <v>3.6</v>
      </c>
      <c r="C9" s="67">
        <v>46.68</v>
      </c>
      <c r="D9" s="67">
        <v>47.31</v>
      </c>
      <c r="E9" s="67">
        <v>49.61</v>
      </c>
      <c r="F9" s="69">
        <v>87.38</v>
      </c>
    </row>
    <row r="10" spans="1:6" ht="12.75">
      <c r="A10" s="62" t="s">
        <v>91</v>
      </c>
      <c r="B10" s="67">
        <v>2.94</v>
      </c>
      <c r="C10" s="67">
        <v>45.87</v>
      </c>
      <c r="D10" s="67">
        <v>0</v>
      </c>
      <c r="E10" s="67">
        <v>48.47</v>
      </c>
      <c r="F10" s="68"/>
    </row>
    <row r="11" spans="1:6" ht="12.75">
      <c r="A11" s="62" t="s">
        <v>92</v>
      </c>
      <c r="B11" s="67">
        <v>6.3</v>
      </c>
      <c r="C11" s="67">
        <v>44.65</v>
      </c>
      <c r="D11" s="67">
        <v>44.86</v>
      </c>
      <c r="E11" s="67">
        <v>46.76</v>
      </c>
      <c r="F11" s="68"/>
    </row>
    <row r="12" spans="1:6" ht="12.75">
      <c r="A12" s="62" t="s">
        <v>6</v>
      </c>
      <c r="B12" s="67">
        <v>3.36</v>
      </c>
      <c r="C12" s="67">
        <v>51.72</v>
      </c>
      <c r="D12" s="67">
        <v>0</v>
      </c>
      <c r="E12" s="67">
        <v>56.66</v>
      </c>
      <c r="F12" s="68"/>
    </row>
    <row r="13" spans="1:6" ht="12.75">
      <c r="A13" s="62" t="s">
        <v>93</v>
      </c>
      <c r="B13" s="67">
        <v>3.57</v>
      </c>
      <c r="C13" s="67">
        <v>44.69</v>
      </c>
      <c r="D13" s="67">
        <v>44.92</v>
      </c>
      <c r="E13" s="67">
        <v>0</v>
      </c>
      <c r="F13" s="68"/>
    </row>
    <row r="14" spans="1:6" ht="12.75">
      <c r="A14" s="70"/>
      <c r="B14" s="67"/>
      <c r="C14" s="60"/>
      <c r="D14" s="60"/>
      <c r="E14" s="60"/>
      <c r="F14" s="68"/>
    </row>
    <row r="15" spans="1:6" ht="12.75">
      <c r="A15" s="62" t="s">
        <v>94</v>
      </c>
      <c r="B15" s="67">
        <v>59.44</v>
      </c>
      <c r="C15" s="71"/>
      <c r="D15" s="71"/>
      <c r="E15" s="71"/>
      <c r="F15" s="68"/>
    </row>
    <row r="16" spans="1:6" ht="12.75">
      <c r="A16" s="62" t="s">
        <v>95</v>
      </c>
      <c r="B16" s="67">
        <v>21.63</v>
      </c>
      <c r="C16" s="71"/>
      <c r="D16" s="71"/>
      <c r="E16" s="71"/>
      <c r="F16" s="68"/>
    </row>
    <row r="17" spans="1:6" ht="12.75">
      <c r="A17" s="62" t="s">
        <v>96</v>
      </c>
      <c r="B17" s="67">
        <v>15.99</v>
      </c>
      <c r="C17" s="71"/>
      <c r="D17" s="71"/>
      <c r="E17" s="71"/>
      <c r="F17" s="68"/>
    </row>
    <row r="18" spans="1:6" ht="12.75">
      <c r="A18" s="62" t="s">
        <v>97</v>
      </c>
      <c r="B18" s="67">
        <v>44.52</v>
      </c>
      <c r="C18" s="71"/>
      <c r="D18" s="71"/>
      <c r="E18" s="71"/>
      <c r="F18" s="68"/>
    </row>
    <row r="19" spans="1:6" ht="12.75">
      <c r="A19" s="62" t="s">
        <v>98</v>
      </c>
      <c r="B19" s="67">
        <v>5.9</v>
      </c>
      <c r="C19" s="71"/>
      <c r="D19" s="71"/>
      <c r="E19" s="71"/>
      <c r="F19" s="68"/>
    </row>
    <row r="20" spans="1:6" ht="12.75">
      <c r="A20" s="62" t="s">
        <v>99</v>
      </c>
      <c r="B20" s="67">
        <v>24.39</v>
      </c>
      <c r="C20" s="71"/>
      <c r="D20" s="71"/>
      <c r="E20" s="71"/>
      <c r="F20" s="68"/>
    </row>
    <row r="21" spans="1:6" ht="12.75">
      <c r="A21" s="62" t="s">
        <v>100</v>
      </c>
      <c r="B21" s="67">
        <v>22.93</v>
      </c>
      <c r="C21" s="71"/>
      <c r="D21" s="71"/>
      <c r="E21" s="71"/>
      <c r="F21" s="68"/>
    </row>
    <row r="22" spans="1:6" ht="12.75">
      <c r="A22" s="72" t="s">
        <v>101</v>
      </c>
      <c r="B22" s="73">
        <v>39.13</v>
      </c>
      <c r="C22" s="74"/>
      <c r="D22" s="74"/>
      <c r="E22" s="74"/>
      <c r="F22" s="75"/>
    </row>
    <row r="25" spans="1:6" ht="12.75">
      <c r="A25" s="55" t="s">
        <v>114</v>
      </c>
      <c r="B25" s="56"/>
      <c r="C25" s="56"/>
      <c r="D25" s="56"/>
      <c r="E25" s="56"/>
      <c r="F25" s="76"/>
    </row>
    <row r="26" spans="1:6" ht="12.75">
      <c r="A26" s="59" t="s">
        <v>80</v>
      </c>
      <c r="B26" s="60"/>
      <c r="C26" s="60"/>
      <c r="D26" s="60"/>
      <c r="E26" s="60"/>
      <c r="F26" s="77"/>
    </row>
    <row r="27" spans="1:6" ht="12.75">
      <c r="A27" s="62"/>
      <c r="B27" s="63" t="s">
        <v>81</v>
      </c>
      <c r="C27" s="63" t="s">
        <v>82</v>
      </c>
      <c r="D27" s="63" t="s">
        <v>83</v>
      </c>
      <c r="E27" s="63" t="s">
        <v>84</v>
      </c>
      <c r="F27" s="64" t="s">
        <v>85</v>
      </c>
    </row>
    <row r="28" spans="1:6" ht="12.75">
      <c r="A28" s="62"/>
      <c r="B28" s="65">
        <v>9300</v>
      </c>
      <c r="C28" s="65">
        <v>18000</v>
      </c>
      <c r="D28" s="65">
        <v>45000</v>
      </c>
      <c r="E28" s="65">
        <v>50000</v>
      </c>
      <c r="F28" s="66" t="s">
        <v>86</v>
      </c>
    </row>
    <row r="29" spans="1:6" ht="12.75">
      <c r="A29" s="62"/>
      <c r="B29" s="65"/>
      <c r="C29" s="65"/>
      <c r="D29" s="65"/>
      <c r="E29" s="65"/>
      <c r="F29" s="78"/>
    </row>
    <row r="30" spans="1:6" ht="12.75">
      <c r="A30" s="62" t="s">
        <v>87</v>
      </c>
      <c r="B30" s="67">
        <v>9.61</v>
      </c>
      <c r="C30" s="67">
        <v>0</v>
      </c>
      <c r="D30" s="67">
        <v>54.79</v>
      </c>
      <c r="E30" s="67">
        <v>0</v>
      </c>
      <c r="F30" s="78"/>
    </row>
    <row r="31" spans="1:6" ht="12.75">
      <c r="A31" s="62" t="s">
        <v>88</v>
      </c>
      <c r="B31" s="67">
        <v>7.47</v>
      </c>
      <c r="C31" s="67">
        <v>41.74</v>
      </c>
      <c r="D31" s="67">
        <v>41.09</v>
      </c>
      <c r="E31" s="67">
        <v>42.19</v>
      </c>
      <c r="F31" s="78"/>
    </row>
    <row r="32" spans="1:6" ht="12.75">
      <c r="A32" s="62" t="s">
        <v>89</v>
      </c>
      <c r="B32" s="67">
        <v>4.73</v>
      </c>
      <c r="C32" s="67">
        <v>50.59</v>
      </c>
      <c r="D32" s="67">
        <v>51.71</v>
      </c>
      <c r="E32" s="67">
        <v>0</v>
      </c>
      <c r="F32" s="78">
        <v>93.03</v>
      </c>
    </row>
    <row r="33" spans="1:6" ht="12.75">
      <c r="A33" s="62" t="s">
        <v>90</v>
      </c>
      <c r="B33" s="67">
        <v>3.71</v>
      </c>
      <c r="C33" s="67">
        <v>48.14</v>
      </c>
      <c r="D33" s="67">
        <v>48.79</v>
      </c>
      <c r="E33" s="67">
        <v>51.16</v>
      </c>
      <c r="F33" s="78">
        <v>90.11</v>
      </c>
    </row>
    <row r="34" spans="1:6" ht="12.75">
      <c r="A34" s="62" t="s">
        <v>91</v>
      </c>
      <c r="B34" s="67">
        <v>3.03</v>
      </c>
      <c r="C34" s="67">
        <v>47.3</v>
      </c>
      <c r="D34" s="67">
        <v>0</v>
      </c>
      <c r="E34" s="67">
        <v>49.98</v>
      </c>
      <c r="F34" s="78"/>
    </row>
    <row r="35" spans="1:6" ht="12.75">
      <c r="A35" s="62" t="s">
        <v>92</v>
      </c>
      <c r="B35" s="67">
        <v>6.5</v>
      </c>
      <c r="C35" s="67">
        <v>46.04</v>
      </c>
      <c r="D35" s="67">
        <v>46.26</v>
      </c>
      <c r="E35" s="67">
        <v>48.22</v>
      </c>
      <c r="F35" s="78"/>
    </row>
    <row r="36" spans="1:6" ht="12.75">
      <c r="A36" s="62" t="s">
        <v>6</v>
      </c>
      <c r="B36" s="67">
        <v>3.46</v>
      </c>
      <c r="C36" s="67">
        <v>53.33</v>
      </c>
      <c r="D36" s="67">
        <v>0</v>
      </c>
      <c r="E36" s="67">
        <v>58.43</v>
      </c>
      <c r="F36" s="78"/>
    </row>
    <row r="37" spans="1:6" ht="12.75">
      <c r="A37" s="62" t="s">
        <v>93</v>
      </c>
      <c r="B37" s="67">
        <v>3.68</v>
      </c>
      <c r="C37" s="67">
        <v>46.08</v>
      </c>
      <c r="D37" s="67">
        <v>46.32</v>
      </c>
      <c r="E37" s="67">
        <v>0</v>
      </c>
      <c r="F37" s="78"/>
    </row>
    <row r="38" spans="1:6" ht="12.75">
      <c r="A38" s="70"/>
      <c r="B38" s="67"/>
      <c r="C38" s="60"/>
      <c r="D38" s="60"/>
      <c r="E38" s="60"/>
      <c r="F38" s="77"/>
    </row>
    <row r="39" spans="1:6" ht="12.75">
      <c r="A39" s="62" t="s">
        <v>94</v>
      </c>
      <c r="B39" s="67">
        <v>61.29</v>
      </c>
      <c r="C39" s="71"/>
      <c r="D39" s="71"/>
      <c r="E39" s="71"/>
      <c r="F39" s="77"/>
    </row>
    <row r="40" spans="1:6" ht="12.75">
      <c r="A40" s="62" t="s">
        <v>95</v>
      </c>
      <c r="B40" s="67">
        <v>22.3</v>
      </c>
      <c r="C40" s="71"/>
      <c r="D40" s="71"/>
      <c r="E40" s="71"/>
      <c r="F40" s="77"/>
    </row>
    <row r="41" spans="1:6" ht="12.75">
      <c r="A41" s="62" t="s">
        <v>96</v>
      </c>
      <c r="B41" s="67">
        <v>16.49</v>
      </c>
      <c r="C41" s="71"/>
      <c r="D41" s="71"/>
      <c r="E41" s="71"/>
      <c r="F41" s="77"/>
    </row>
    <row r="42" spans="1:6" ht="12.75">
      <c r="A42" s="62" t="s">
        <v>97</v>
      </c>
      <c r="B42" s="67">
        <v>45.91</v>
      </c>
      <c r="C42" s="71"/>
      <c r="D42" s="71"/>
      <c r="E42" s="71"/>
      <c r="F42" s="77"/>
    </row>
    <row r="43" spans="1:6" ht="12.75">
      <c r="A43" s="62" t="s">
        <v>98</v>
      </c>
      <c r="B43" s="67">
        <v>6.08</v>
      </c>
      <c r="C43" s="71"/>
      <c r="D43" s="71"/>
      <c r="E43" s="71"/>
      <c r="F43" s="77"/>
    </row>
    <row r="44" spans="1:6" ht="12.75">
      <c r="A44" s="62" t="s">
        <v>99</v>
      </c>
      <c r="B44" s="67">
        <v>25.15</v>
      </c>
      <c r="C44" s="71"/>
      <c r="D44" s="71"/>
      <c r="E44" s="71"/>
      <c r="F44" s="77"/>
    </row>
    <row r="45" spans="1:6" ht="12.75">
      <c r="A45" s="62" t="s">
        <v>100</v>
      </c>
      <c r="B45" s="67">
        <v>23.65</v>
      </c>
      <c r="C45" s="71"/>
      <c r="D45" s="71"/>
      <c r="E45" s="71"/>
      <c r="F45" s="77"/>
    </row>
    <row r="46" spans="1:6" ht="12.75">
      <c r="A46" s="62" t="s">
        <v>101</v>
      </c>
      <c r="B46" s="67">
        <v>40.35</v>
      </c>
      <c r="C46" s="71"/>
      <c r="D46" s="71"/>
      <c r="E46" s="71"/>
      <c r="F46" s="77"/>
    </row>
    <row r="47" spans="1:6" ht="12.75">
      <c r="A47" s="79"/>
      <c r="F47" s="77"/>
    </row>
    <row r="48" spans="1:6" ht="12.75">
      <c r="A48" s="79"/>
      <c r="F48" s="77"/>
    </row>
    <row r="49" spans="1:6" ht="12.75">
      <c r="A49" s="59" t="s">
        <v>113</v>
      </c>
      <c r="B49" s="60"/>
      <c r="C49" s="60"/>
      <c r="D49" s="60"/>
      <c r="E49" s="60"/>
      <c r="F49" s="77"/>
    </row>
    <row r="50" spans="1:6" ht="12.75">
      <c r="A50" s="59" t="s">
        <v>80</v>
      </c>
      <c r="B50" s="60"/>
      <c r="C50" s="60"/>
      <c r="D50" s="60"/>
      <c r="E50" s="60"/>
      <c r="F50" s="77"/>
    </row>
    <row r="51" spans="1:6" ht="12.75">
      <c r="A51" s="62"/>
      <c r="B51" s="63" t="s">
        <v>81</v>
      </c>
      <c r="C51" s="63" t="s">
        <v>82</v>
      </c>
      <c r="D51" s="63" t="s">
        <v>83</v>
      </c>
      <c r="E51" s="63" t="s">
        <v>84</v>
      </c>
      <c r="F51" s="77"/>
    </row>
    <row r="52" spans="1:6" ht="12.75">
      <c r="A52" s="62"/>
      <c r="B52" s="65">
        <v>9000</v>
      </c>
      <c r="C52" s="65">
        <v>18000</v>
      </c>
      <c r="D52" s="65">
        <v>45000</v>
      </c>
      <c r="E52" s="65">
        <v>50000</v>
      </c>
      <c r="F52" s="77"/>
    </row>
    <row r="53" spans="1:6" ht="12.75">
      <c r="A53" s="62"/>
      <c r="B53" s="65"/>
      <c r="C53" s="65"/>
      <c r="D53" s="65"/>
      <c r="E53" s="65"/>
      <c r="F53" s="77"/>
    </row>
    <row r="54" spans="1:6" ht="12.75">
      <c r="A54" s="62" t="s">
        <v>87</v>
      </c>
      <c r="B54" s="65"/>
      <c r="C54" s="67">
        <v>0</v>
      </c>
      <c r="D54" s="67">
        <v>35.1</v>
      </c>
      <c r="E54" s="67">
        <v>0</v>
      </c>
      <c r="F54" s="77"/>
    </row>
    <row r="55" spans="1:6" ht="12.75">
      <c r="A55" s="62" t="s">
        <v>88</v>
      </c>
      <c r="B55" s="65"/>
      <c r="C55" s="67">
        <v>22.94</v>
      </c>
      <c r="D55" s="67">
        <v>27.53</v>
      </c>
      <c r="E55" s="67">
        <v>32.12</v>
      </c>
      <c r="F55" s="77"/>
    </row>
    <row r="56" spans="1:6" ht="12.75">
      <c r="A56" s="62" t="s">
        <v>89</v>
      </c>
      <c r="B56" s="65"/>
      <c r="C56" s="67">
        <v>27.64</v>
      </c>
      <c r="D56" s="67">
        <v>33.16</v>
      </c>
      <c r="E56" s="67">
        <v>38.69</v>
      </c>
      <c r="F56" s="77"/>
    </row>
    <row r="57" spans="1:6" ht="12.75">
      <c r="A57" s="62" t="s">
        <v>90</v>
      </c>
      <c r="B57" s="65"/>
      <c r="C57" s="67">
        <v>27.21</v>
      </c>
      <c r="D57" s="67">
        <v>32.65</v>
      </c>
      <c r="E57" s="67">
        <v>38.1</v>
      </c>
      <c r="F57" s="77"/>
    </row>
    <row r="58" spans="1:6" ht="12.75">
      <c r="A58" s="62" t="s">
        <v>91</v>
      </c>
      <c r="B58" s="65"/>
      <c r="C58" s="67">
        <v>26.64</v>
      </c>
      <c r="D58" s="67">
        <v>0</v>
      </c>
      <c r="E58" s="67">
        <v>37.29</v>
      </c>
      <c r="F58" s="77"/>
    </row>
    <row r="59" spans="1:6" ht="12.75">
      <c r="A59" s="62" t="s">
        <v>92</v>
      </c>
      <c r="B59" s="65"/>
      <c r="C59" s="67">
        <v>25.45</v>
      </c>
      <c r="D59" s="67">
        <v>30.54</v>
      </c>
      <c r="E59" s="67">
        <v>35.63</v>
      </c>
      <c r="F59" s="77"/>
    </row>
    <row r="60" spans="1:6" ht="12.75">
      <c r="A60" s="62" t="s">
        <v>6</v>
      </c>
      <c r="B60" s="65"/>
      <c r="C60" s="67">
        <v>30.16</v>
      </c>
      <c r="D60" s="67">
        <v>0</v>
      </c>
      <c r="E60" s="67">
        <v>42.22</v>
      </c>
      <c r="F60" s="77"/>
    </row>
    <row r="61" spans="1:6" ht="12.75">
      <c r="A61" s="62" t="s">
        <v>93</v>
      </c>
      <c r="B61" s="65"/>
      <c r="C61" s="67">
        <v>25.29</v>
      </c>
      <c r="D61" s="67">
        <v>30.35</v>
      </c>
      <c r="E61" s="67">
        <v>0</v>
      </c>
      <c r="F61" s="77"/>
    </row>
    <row r="62" spans="1:6" ht="12.75">
      <c r="A62" s="70"/>
      <c r="B62" s="67"/>
      <c r="C62" s="60"/>
      <c r="D62" s="60"/>
      <c r="E62" s="60"/>
      <c r="F62" s="77"/>
    </row>
    <row r="63" spans="1:6" ht="12.75">
      <c r="A63" s="62" t="s">
        <v>102</v>
      </c>
      <c r="B63" s="67">
        <v>7.12</v>
      </c>
      <c r="D63" s="71"/>
      <c r="E63" s="71"/>
      <c r="F63" s="77"/>
    </row>
    <row r="64" spans="1:6" ht="12.75">
      <c r="A64" s="62" t="s">
        <v>103</v>
      </c>
      <c r="B64" s="67">
        <v>21.1</v>
      </c>
      <c r="D64" s="71"/>
      <c r="E64" s="71"/>
      <c r="F64" s="77"/>
    </row>
    <row r="65" spans="1:6" ht="12.75">
      <c r="A65" s="62" t="s">
        <v>104</v>
      </c>
      <c r="B65" s="67">
        <v>19.76</v>
      </c>
      <c r="D65" s="71"/>
      <c r="E65" s="71"/>
      <c r="F65" s="77"/>
    </row>
    <row r="66" spans="1:6" ht="12.75">
      <c r="A66" s="62" t="s">
        <v>105</v>
      </c>
      <c r="B66" s="67">
        <v>6.17</v>
      </c>
      <c r="D66" s="71"/>
      <c r="E66" s="71"/>
      <c r="F66" s="77"/>
    </row>
    <row r="67" spans="1:6" ht="12.75">
      <c r="A67" s="62" t="s">
        <v>106</v>
      </c>
      <c r="B67" s="67">
        <v>4.19</v>
      </c>
      <c r="D67" s="71"/>
      <c r="E67" s="71"/>
      <c r="F67" s="77"/>
    </row>
    <row r="68" spans="1:6" ht="12.75">
      <c r="A68" s="62" t="s">
        <v>107</v>
      </c>
      <c r="B68" s="67">
        <v>30.7</v>
      </c>
      <c r="D68" s="71"/>
      <c r="E68" s="71"/>
      <c r="F68" s="77"/>
    </row>
    <row r="69" spans="1:6" ht="12.75">
      <c r="A69" s="62" t="s">
        <v>108</v>
      </c>
      <c r="B69" s="67">
        <v>10.14</v>
      </c>
      <c r="D69" s="71"/>
      <c r="E69" s="71"/>
      <c r="F69" s="77"/>
    </row>
    <row r="70" spans="1:6" ht="12.75">
      <c r="A70" s="62" t="s">
        <v>109</v>
      </c>
      <c r="B70" s="67">
        <v>9.24</v>
      </c>
      <c r="D70" s="71"/>
      <c r="E70" s="71"/>
      <c r="F70" s="77"/>
    </row>
    <row r="71" spans="1:6" ht="12.75">
      <c r="A71" s="62" t="s">
        <v>110</v>
      </c>
      <c r="B71" s="67">
        <v>24.35</v>
      </c>
      <c r="F71" s="77"/>
    </row>
    <row r="72" spans="1:6" ht="12.75">
      <c r="A72" s="62" t="s">
        <v>111</v>
      </c>
      <c r="B72" s="67">
        <v>13.87</v>
      </c>
      <c r="F72" s="77"/>
    </row>
    <row r="73" spans="1:6" ht="12.75">
      <c r="A73" s="72" t="s">
        <v>112</v>
      </c>
      <c r="B73" s="73">
        <v>3.65</v>
      </c>
      <c r="C73" s="80"/>
      <c r="D73" s="80"/>
      <c r="E73" s="80"/>
      <c r="F73" s="81"/>
    </row>
    <row r="74" spans="1:3" ht="12.75">
      <c r="A74" s="82"/>
      <c r="B74" s="60"/>
      <c r="C74" s="67"/>
    </row>
    <row r="75" spans="1:3" ht="12.75">
      <c r="A75" s="82"/>
      <c r="B75" s="60"/>
      <c r="C75" s="67"/>
    </row>
    <row r="76" spans="1:6" ht="12.75">
      <c r="A76" s="55" t="s">
        <v>115</v>
      </c>
      <c r="B76" s="56"/>
      <c r="C76" s="56"/>
      <c r="D76" s="56"/>
      <c r="E76" s="56"/>
      <c r="F76" s="57"/>
    </row>
    <row r="77" spans="1:6" ht="12.75">
      <c r="A77" s="59" t="s">
        <v>80</v>
      </c>
      <c r="B77" s="60"/>
      <c r="C77" s="60"/>
      <c r="D77" s="60"/>
      <c r="E77" s="60"/>
      <c r="F77" s="61"/>
    </row>
    <row r="78" spans="1:6" ht="12.75">
      <c r="A78" s="62"/>
      <c r="B78" s="63" t="s">
        <v>81</v>
      </c>
      <c r="C78" s="63" t="s">
        <v>82</v>
      </c>
      <c r="D78" s="63" t="s">
        <v>83</v>
      </c>
      <c r="E78" s="63" t="s">
        <v>84</v>
      </c>
      <c r="F78" s="64" t="s">
        <v>85</v>
      </c>
    </row>
    <row r="79" spans="1:6" ht="12.75">
      <c r="A79" s="62"/>
      <c r="B79" s="65">
        <v>9300</v>
      </c>
      <c r="C79" s="65">
        <v>18000</v>
      </c>
      <c r="D79" s="65">
        <v>45000</v>
      </c>
      <c r="E79" s="65">
        <v>50000</v>
      </c>
      <c r="F79" s="66" t="s">
        <v>86</v>
      </c>
    </row>
    <row r="80" spans="1:6" ht="12.75">
      <c r="A80" s="62"/>
      <c r="B80" s="65"/>
      <c r="C80" s="65"/>
      <c r="D80" s="65"/>
      <c r="E80" s="65"/>
      <c r="F80" s="66"/>
    </row>
    <row r="81" spans="1:6" ht="12.75">
      <c r="A81" s="62" t="s">
        <v>87</v>
      </c>
      <c r="B81" s="67">
        <v>10.29</v>
      </c>
      <c r="C81" s="67">
        <v>0</v>
      </c>
      <c r="D81" s="67">
        <v>58.69</v>
      </c>
      <c r="E81" s="67">
        <v>0</v>
      </c>
      <c r="F81" s="61"/>
    </row>
    <row r="82" spans="1:6" ht="12.75">
      <c r="A82" s="62" t="s">
        <v>88</v>
      </c>
      <c r="B82" s="67">
        <v>8</v>
      </c>
      <c r="C82" s="67">
        <v>44.71</v>
      </c>
      <c r="D82" s="67">
        <v>44.02</v>
      </c>
      <c r="E82" s="67">
        <v>45.2</v>
      </c>
      <c r="F82" s="68"/>
    </row>
    <row r="83" spans="1:6" ht="12.75">
      <c r="A83" s="62" t="s">
        <v>89</v>
      </c>
      <c r="B83" s="67">
        <v>5.07</v>
      </c>
      <c r="C83" s="67">
        <v>54.19</v>
      </c>
      <c r="D83" s="67">
        <v>55.39</v>
      </c>
      <c r="E83" s="67">
        <v>0</v>
      </c>
      <c r="F83" s="69">
        <v>99.65</v>
      </c>
    </row>
    <row r="84" spans="1:6" ht="12.75">
      <c r="A84" s="62" t="s">
        <v>90</v>
      </c>
      <c r="B84" s="67">
        <v>3.97</v>
      </c>
      <c r="C84" s="67">
        <v>51.57</v>
      </c>
      <c r="D84" s="67">
        <v>52.27</v>
      </c>
      <c r="E84" s="67">
        <v>54.8</v>
      </c>
      <c r="F84" s="69">
        <v>96.53</v>
      </c>
    </row>
    <row r="85" spans="1:6" ht="12.75">
      <c r="A85" s="62" t="s">
        <v>91</v>
      </c>
      <c r="B85" s="67">
        <v>3.25</v>
      </c>
      <c r="C85" s="67">
        <v>50.67</v>
      </c>
      <c r="D85" s="67">
        <v>0</v>
      </c>
      <c r="E85" s="67">
        <v>53.54</v>
      </c>
      <c r="F85" s="68"/>
    </row>
    <row r="86" spans="1:6" ht="12.75">
      <c r="A86" s="62" t="s">
        <v>92</v>
      </c>
      <c r="B86" s="67">
        <v>6.96</v>
      </c>
      <c r="C86" s="67">
        <v>49.32</v>
      </c>
      <c r="D86" s="67">
        <v>49.56</v>
      </c>
      <c r="E86" s="67">
        <v>51.65</v>
      </c>
      <c r="F86" s="68"/>
    </row>
    <row r="87" spans="1:6" ht="12.75">
      <c r="A87" s="62" t="s">
        <v>6</v>
      </c>
      <c r="B87" s="67">
        <v>3.71</v>
      </c>
      <c r="C87" s="67">
        <v>57.13</v>
      </c>
      <c r="D87" s="67">
        <v>0</v>
      </c>
      <c r="E87" s="67">
        <v>62.59</v>
      </c>
      <c r="F87" s="68"/>
    </row>
    <row r="88" spans="1:6" ht="12.75">
      <c r="A88" s="62" t="s">
        <v>93</v>
      </c>
      <c r="B88" s="67">
        <v>3.94</v>
      </c>
      <c r="C88" s="67">
        <v>49.36</v>
      </c>
      <c r="D88" s="67">
        <v>49.62</v>
      </c>
      <c r="E88" s="67">
        <v>0</v>
      </c>
      <c r="F88" s="68"/>
    </row>
    <row r="89" spans="1:6" ht="12.75">
      <c r="A89" s="70"/>
      <c r="B89" s="67"/>
      <c r="C89" s="60"/>
      <c r="D89" s="60"/>
      <c r="E89" s="60"/>
      <c r="F89" s="68"/>
    </row>
    <row r="90" spans="1:6" ht="12.75">
      <c r="A90" s="62" t="s">
        <v>94</v>
      </c>
      <c r="B90" s="67">
        <v>65.66</v>
      </c>
      <c r="C90" s="71"/>
      <c r="D90" s="71"/>
      <c r="E90" s="71"/>
      <c r="F90" s="68"/>
    </row>
    <row r="91" spans="1:6" ht="12.75">
      <c r="A91" s="62" t="s">
        <v>95</v>
      </c>
      <c r="B91" s="67">
        <v>23.89</v>
      </c>
      <c r="C91" s="71"/>
      <c r="D91" s="71"/>
      <c r="E91" s="71"/>
      <c r="F91" s="68"/>
    </row>
    <row r="92" spans="1:6" ht="12.75">
      <c r="A92" s="62" t="s">
        <v>96</v>
      </c>
      <c r="B92" s="67">
        <v>17.66</v>
      </c>
      <c r="C92" s="71"/>
      <c r="D92" s="71"/>
      <c r="E92" s="71"/>
      <c r="F92" s="68"/>
    </row>
    <row r="93" spans="1:6" ht="12.75">
      <c r="A93" s="62" t="s">
        <v>97</v>
      </c>
      <c r="B93" s="67">
        <v>49.18</v>
      </c>
      <c r="C93" s="71"/>
      <c r="D93" s="71"/>
      <c r="E93" s="71"/>
      <c r="F93" s="68"/>
    </row>
    <row r="94" spans="1:6" ht="12.75">
      <c r="A94" s="62" t="s">
        <v>98</v>
      </c>
      <c r="B94" s="67">
        <v>6.51</v>
      </c>
      <c r="C94" s="71"/>
      <c r="D94" s="71"/>
      <c r="E94" s="71"/>
      <c r="F94" s="68"/>
    </row>
    <row r="95" spans="1:6" ht="12.75">
      <c r="A95" s="62" t="s">
        <v>99</v>
      </c>
      <c r="B95" s="67">
        <v>26.94</v>
      </c>
      <c r="C95" s="71"/>
      <c r="D95" s="71"/>
      <c r="E95" s="71"/>
      <c r="F95" s="68"/>
    </row>
    <row r="96" spans="1:6" ht="12.75">
      <c r="A96" s="62" t="s">
        <v>100</v>
      </c>
      <c r="B96" s="67">
        <v>25.33</v>
      </c>
      <c r="C96" s="71"/>
      <c r="D96" s="71"/>
      <c r="E96" s="71"/>
      <c r="F96" s="68"/>
    </row>
    <row r="97" spans="1:6" ht="12.75">
      <c r="A97" s="62" t="s">
        <v>101</v>
      </c>
      <c r="B97" s="67">
        <v>43.22</v>
      </c>
      <c r="C97" s="71"/>
      <c r="D97" s="71"/>
      <c r="E97" s="71"/>
      <c r="F97" s="68"/>
    </row>
    <row r="98" spans="1:6" ht="12.75">
      <c r="A98" s="79"/>
      <c r="F98" s="77"/>
    </row>
    <row r="99" spans="1:6" ht="12.75">
      <c r="A99" s="79"/>
      <c r="F99" s="77"/>
    </row>
    <row r="100" spans="1:6" ht="12.75">
      <c r="A100" s="59" t="s">
        <v>116</v>
      </c>
      <c r="B100" s="60"/>
      <c r="C100" s="60"/>
      <c r="D100" s="60"/>
      <c r="E100" s="60"/>
      <c r="F100" s="61"/>
    </row>
    <row r="101" spans="1:6" ht="12.75">
      <c r="A101" s="59" t="s">
        <v>80</v>
      </c>
      <c r="B101" s="60"/>
      <c r="C101" s="60"/>
      <c r="D101" s="60"/>
      <c r="E101" s="60"/>
      <c r="F101" s="61"/>
    </row>
    <row r="102" spans="1:6" ht="12.75">
      <c r="A102" s="62"/>
      <c r="B102" s="63" t="s">
        <v>81</v>
      </c>
      <c r="C102" s="63" t="s">
        <v>82</v>
      </c>
      <c r="D102" s="63" t="s">
        <v>83</v>
      </c>
      <c r="E102" s="63" t="s">
        <v>84</v>
      </c>
      <c r="F102" s="64"/>
    </row>
    <row r="103" spans="1:6" ht="12.75">
      <c r="A103" s="62"/>
      <c r="B103" s="65">
        <v>9000</v>
      </c>
      <c r="C103" s="65">
        <v>18000</v>
      </c>
      <c r="D103" s="65">
        <v>45000</v>
      </c>
      <c r="E103" s="65">
        <v>50000</v>
      </c>
      <c r="F103" s="66"/>
    </row>
    <row r="104" spans="1:6" ht="12.75">
      <c r="A104" s="62"/>
      <c r="B104" s="65"/>
      <c r="C104" s="65"/>
      <c r="D104" s="65"/>
      <c r="E104" s="65"/>
      <c r="F104" s="66"/>
    </row>
    <row r="105" spans="1:6" ht="12.75">
      <c r="A105" s="62" t="s">
        <v>87</v>
      </c>
      <c r="B105" s="65"/>
      <c r="C105" s="67">
        <v>0</v>
      </c>
      <c r="D105" s="67">
        <v>37.6</v>
      </c>
      <c r="E105" s="67">
        <v>0</v>
      </c>
      <c r="F105" s="61"/>
    </row>
    <row r="106" spans="1:6" ht="12.75">
      <c r="A106" s="62" t="s">
        <v>88</v>
      </c>
      <c r="B106" s="65"/>
      <c r="C106" s="67">
        <v>24.57</v>
      </c>
      <c r="D106" s="67">
        <v>29.49</v>
      </c>
      <c r="E106" s="67">
        <v>34.41</v>
      </c>
      <c r="F106" s="68"/>
    </row>
    <row r="107" spans="1:6" ht="12.75">
      <c r="A107" s="62" t="s">
        <v>89</v>
      </c>
      <c r="B107" s="65"/>
      <c r="C107" s="67">
        <v>29.61</v>
      </c>
      <c r="D107" s="67">
        <v>35.52</v>
      </c>
      <c r="E107" s="67">
        <v>41.45</v>
      </c>
      <c r="F107" s="68"/>
    </row>
    <row r="108" spans="1:6" ht="12.75">
      <c r="A108" s="62" t="s">
        <v>90</v>
      </c>
      <c r="B108" s="65"/>
      <c r="C108" s="67">
        <v>29.15</v>
      </c>
      <c r="D108" s="67">
        <v>34.98</v>
      </c>
      <c r="E108" s="67">
        <v>40.81</v>
      </c>
      <c r="F108" s="68"/>
    </row>
    <row r="109" spans="1:6" ht="12.75">
      <c r="A109" s="62" t="s">
        <v>91</v>
      </c>
      <c r="B109" s="65"/>
      <c r="C109" s="67">
        <v>28.54</v>
      </c>
      <c r="D109" s="67">
        <v>0</v>
      </c>
      <c r="E109" s="67">
        <v>39.95</v>
      </c>
      <c r="F109" s="68"/>
    </row>
    <row r="110" spans="1:6" ht="12.75">
      <c r="A110" s="62" t="s">
        <v>92</v>
      </c>
      <c r="B110" s="65"/>
      <c r="C110" s="67">
        <v>27.26</v>
      </c>
      <c r="D110" s="67">
        <v>32.72</v>
      </c>
      <c r="E110" s="67">
        <v>38.17</v>
      </c>
      <c r="F110" s="68"/>
    </row>
    <row r="111" spans="1:6" ht="12.75">
      <c r="A111" s="62" t="s">
        <v>6</v>
      </c>
      <c r="B111" s="65"/>
      <c r="C111" s="67">
        <v>32.31</v>
      </c>
      <c r="D111" s="67">
        <v>0</v>
      </c>
      <c r="E111" s="67">
        <v>45.23</v>
      </c>
      <c r="F111" s="68"/>
    </row>
    <row r="112" spans="1:6" ht="12.75">
      <c r="A112" s="62" t="s">
        <v>93</v>
      </c>
      <c r="B112" s="65"/>
      <c r="C112" s="67">
        <v>27.09</v>
      </c>
      <c r="D112" s="67">
        <v>32.51</v>
      </c>
      <c r="E112" s="67">
        <v>0</v>
      </c>
      <c r="F112" s="68"/>
    </row>
    <row r="113" spans="1:6" ht="12.75">
      <c r="A113" s="70"/>
      <c r="B113" s="67"/>
      <c r="C113" s="60"/>
      <c r="D113" s="60"/>
      <c r="E113" s="60"/>
      <c r="F113" s="68"/>
    </row>
    <row r="114" spans="1:6" ht="12.75">
      <c r="A114" s="62" t="s">
        <v>102</v>
      </c>
      <c r="B114" s="67">
        <v>7.63</v>
      </c>
      <c r="D114" s="71"/>
      <c r="E114" s="71"/>
      <c r="F114" s="68"/>
    </row>
    <row r="115" spans="1:6" ht="12.75">
      <c r="A115" s="62" t="s">
        <v>103</v>
      </c>
      <c r="B115" s="67">
        <v>22.6</v>
      </c>
      <c r="D115" s="71"/>
      <c r="E115" s="71"/>
      <c r="F115" s="68"/>
    </row>
    <row r="116" spans="1:6" ht="12.75">
      <c r="A116" s="62" t="s">
        <v>104</v>
      </c>
      <c r="B116" s="67">
        <v>21.17</v>
      </c>
      <c r="D116" s="71"/>
      <c r="E116" s="71"/>
      <c r="F116" s="68"/>
    </row>
    <row r="117" spans="1:6" ht="12.75">
      <c r="A117" s="62" t="s">
        <v>105</v>
      </c>
      <c r="B117" s="67">
        <v>6.61</v>
      </c>
      <c r="D117" s="71"/>
      <c r="E117" s="71"/>
      <c r="F117" s="68"/>
    </row>
    <row r="118" spans="1:6" ht="12.75">
      <c r="A118" s="62" t="s">
        <v>106</v>
      </c>
      <c r="B118" s="67">
        <v>4.49</v>
      </c>
      <c r="D118" s="71"/>
      <c r="E118" s="71"/>
      <c r="F118" s="68"/>
    </row>
    <row r="119" spans="1:6" ht="12.75">
      <c r="A119" s="62" t="s">
        <v>107</v>
      </c>
      <c r="B119" s="67">
        <v>32.89</v>
      </c>
      <c r="D119" s="71"/>
      <c r="E119" s="71"/>
      <c r="F119" s="68"/>
    </row>
    <row r="120" spans="1:6" ht="12.75">
      <c r="A120" s="62" t="s">
        <v>108</v>
      </c>
      <c r="B120" s="67">
        <v>10.86</v>
      </c>
      <c r="D120" s="71"/>
      <c r="E120" s="71"/>
      <c r="F120" s="68"/>
    </row>
    <row r="121" spans="1:6" ht="12.75">
      <c r="A121" s="62" t="s">
        <v>109</v>
      </c>
      <c r="B121" s="67">
        <v>9.9</v>
      </c>
      <c r="D121" s="71"/>
      <c r="E121" s="71"/>
      <c r="F121" s="68"/>
    </row>
    <row r="122" spans="1:6" ht="12.75">
      <c r="A122" s="62" t="s">
        <v>110</v>
      </c>
      <c r="B122" s="67">
        <v>26.08</v>
      </c>
      <c r="F122" s="77"/>
    </row>
    <row r="123" spans="1:6" ht="12.75">
      <c r="A123" s="62" t="s">
        <v>111</v>
      </c>
      <c r="B123" s="67">
        <v>14.86</v>
      </c>
      <c r="F123" s="77"/>
    </row>
    <row r="124" spans="1:6" ht="12.75">
      <c r="A124" s="72" t="s">
        <v>112</v>
      </c>
      <c r="B124" s="73">
        <v>3.91</v>
      </c>
      <c r="C124" s="80"/>
      <c r="D124" s="80"/>
      <c r="E124" s="80"/>
      <c r="F124" s="81"/>
    </row>
    <row r="125" spans="1:3" ht="12.75">
      <c r="A125" s="82"/>
      <c r="B125" s="60"/>
      <c r="C125" s="67"/>
    </row>
    <row r="127" spans="1:6" ht="12.75">
      <c r="A127" s="55" t="s">
        <v>138</v>
      </c>
      <c r="B127" s="56"/>
      <c r="C127" s="56"/>
      <c r="D127" s="56"/>
      <c r="E127" s="56"/>
      <c r="F127" s="57"/>
    </row>
    <row r="128" spans="1:6" ht="12.75">
      <c r="A128" s="59" t="s">
        <v>80</v>
      </c>
      <c r="B128" s="60"/>
      <c r="C128" s="60"/>
      <c r="D128" s="60"/>
      <c r="E128" s="60"/>
      <c r="F128" s="61"/>
    </row>
    <row r="129" spans="1:6" ht="12.75">
      <c r="A129" s="62"/>
      <c r="B129" s="63" t="s">
        <v>81</v>
      </c>
      <c r="C129" s="63" t="s">
        <v>82</v>
      </c>
      <c r="D129" s="63" t="s">
        <v>83</v>
      </c>
      <c r="E129" s="63" t="s">
        <v>84</v>
      </c>
      <c r="F129" s="64" t="s">
        <v>85</v>
      </c>
    </row>
    <row r="130" spans="1:6" ht="12.75">
      <c r="A130" s="62"/>
      <c r="B130" s="65">
        <v>9300</v>
      </c>
      <c r="C130" s="65">
        <v>18000</v>
      </c>
      <c r="D130" s="65">
        <v>45000</v>
      </c>
      <c r="E130" s="65">
        <v>50000</v>
      </c>
      <c r="F130" s="66" t="s">
        <v>86</v>
      </c>
    </row>
    <row r="131" spans="1:6" ht="12.75">
      <c r="A131" s="62"/>
      <c r="B131" s="65"/>
      <c r="C131" s="65"/>
      <c r="D131" s="65"/>
      <c r="E131" s="65"/>
      <c r="F131" s="66"/>
    </row>
    <row r="132" spans="1:6" ht="12.75">
      <c r="A132" s="62" t="s">
        <v>87</v>
      </c>
      <c r="B132" s="67">
        <v>10.69</v>
      </c>
      <c r="C132" s="67">
        <v>0</v>
      </c>
      <c r="D132" s="67">
        <v>60.99</v>
      </c>
      <c r="E132" s="67">
        <v>0</v>
      </c>
      <c r="F132" s="61"/>
    </row>
    <row r="133" spans="1:6" ht="12.75">
      <c r="A133" s="62" t="s">
        <v>88</v>
      </c>
      <c r="B133" s="67">
        <v>8.31</v>
      </c>
      <c r="C133" s="67">
        <v>46.46</v>
      </c>
      <c r="D133" s="67">
        <v>45.74</v>
      </c>
      <c r="E133" s="67">
        <v>46.97</v>
      </c>
      <c r="F133" s="68"/>
    </row>
    <row r="134" spans="1:6" ht="12.75">
      <c r="A134" s="62" t="s">
        <v>89</v>
      </c>
      <c r="B134" s="67">
        <v>5.27</v>
      </c>
      <c r="C134" s="67">
        <v>56.31</v>
      </c>
      <c r="D134" s="67">
        <v>57.56</v>
      </c>
      <c r="E134" s="67">
        <v>0</v>
      </c>
      <c r="F134" s="69">
        <v>103.55000000000001</v>
      </c>
    </row>
    <row r="135" spans="1:6" ht="12.75">
      <c r="A135" s="62" t="s">
        <v>90</v>
      </c>
      <c r="B135" s="67">
        <v>4.13</v>
      </c>
      <c r="C135" s="67">
        <v>53.59</v>
      </c>
      <c r="D135" s="67">
        <v>54.32</v>
      </c>
      <c r="E135" s="67">
        <v>56.95</v>
      </c>
      <c r="F135" s="69">
        <v>100.31</v>
      </c>
    </row>
    <row r="136" spans="1:6" ht="12.75">
      <c r="A136" s="62" t="s">
        <v>91</v>
      </c>
      <c r="B136" s="67">
        <v>3.38</v>
      </c>
      <c r="C136" s="67">
        <v>52.65</v>
      </c>
      <c r="D136" s="67">
        <v>0</v>
      </c>
      <c r="E136" s="67">
        <v>55.64</v>
      </c>
      <c r="F136" s="68"/>
    </row>
    <row r="137" spans="1:6" ht="12.75">
      <c r="A137" s="62" t="s">
        <v>92</v>
      </c>
      <c r="B137" s="67">
        <v>7.23</v>
      </c>
      <c r="C137" s="67">
        <v>51.25</v>
      </c>
      <c r="D137" s="67">
        <v>51.5</v>
      </c>
      <c r="E137" s="67">
        <v>53.67</v>
      </c>
      <c r="F137" s="68"/>
    </row>
    <row r="138" spans="1:6" ht="12.75">
      <c r="A138" s="62" t="s">
        <v>6</v>
      </c>
      <c r="B138" s="67">
        <v>3.86</v>
      </c>
      <c r="C138" s="67">
        <v>59.37</v>
      </c>
      <c r="D138" s="67">
        <v>0</v>
      </c>
      <c r="E138" s="67">
        <v>65.04</v>
      </c>
      <c r="F138" s="68"/>
    </row>
    <row r="139" spans="1:6" ht="12.75">
      <c r="A139" s="62" t="s">
        <v>93</v>
      </c>
      <c r="B139" s="67">
        <v>4.09</v>
      </c>
      <c r="C139" s="67">
        <v>51.29</v>
      </c>
      <c r="D139" s="67">
        <v>51.56</v>
      </c>
      <c r="E139" s="67">
        <v>0</v>
      </c>
      <c r="F139" s="68"/>
    </row>
    <row r="140" spans="1:6" ht="12.75">
      <c r="A140" s="70"/>
      <c r="B140" s="67"/>
      <c r="C140" s="60"/>
      <c r="D140" s="60"/>
      <c r="E140" s="60"/>
      <c r="F140" s="68"/>
    </row>
    <row r="141" spans="1:6" ht="12.75">
      <c r="A141" s="62" t="s">
        <v>94</v>
      </c>
      <c r="B141" s="67">
        <v>68.23</v>
      </c>
      <c r="C141" s="71"/>
      <c r="D141" s="71"/>
      <c r="E141" s="71"/>
      <c r="F141" s="68"/>
    </row>
    <row r="142" spans="1:6" ht="12.75">
      <c r="A142" s="62" t="s">
        <v>95</v>
      </c>
      <c r="B142" s="67">
        <v>24.83</v>
      </c>
      <c r="C142" s="71"/>
      <c r="D142" s="71"/>
      <c r="E142" s="71"/>
      <c r="F142" s="68"/>
    </row>
    <row r="143" spans="1:6" ht="12.75">
      <c r="A143" s="62" t="s">
        <v>96</v>
      </c>
      <c r="B143" s="67">
        <v>18.35</v>
      </c>
      <c r="C143" s="71"/>
      <c r="D143" s="71"/>
      <c r="E143" s="71"/>
      <c r="F143" s="68"/>
    </row>
    <row r="144" spans="1:6" ht="12.75">
      <c r="A144" s="62" t="s">
        <v>97</v>
      </c>
      <c r="B144" s="67">
        <v>51.11</v>
      </c>
      <c r="C144" s="71"/>
      <c r="D144" s="71"/>
      <c r="E144" s="71"/>
      <c r="F144" s="68"/>
    </row>
    <row r="145" spans="1:6" ht="12.75">
      <c r="A145" s="62" t="s">
        <v>98</v>
      </c>
      <c r="B145" s="67">
        <v>6.76</v>
      </c>
      <c r="C145" s="71"/>
      <c r="D145" s="71"/>
      <c r="E145" s="71"/>
      <c r="F145" s="68"/>
    </row>
    <row r="146" spans="1:6" ht="12.75">
      <c r="A146" s="62" t="s">
        <v>99</v>
      </c>
      <c r="B146" s="67">
        <v>27.99</v>
      </c>
      <c r="C146" s="71"/>
      <c r="D146" s="71"/>
      <c r="E146" s="71"/>
      <c r="F146" s="68"/>
    </row>
    <row r="147" spans="1:6" ht="12.75">
      <c r="A147" s="62" t="s">
        <v>100</v>
      </c>
      <c r="B147" s="67">
        <v>26.32</v>
      </c>
      <c r="C147" s="71"/>
      <c r="D147" s="71"/>
      <c r="E147" s="71"/>
      <c r="F147" s="68"/>
    </row>
    <row r="148" spans="1:6" ht="12.75">
      <c r="A148" s="62" t="s">
        <v>101</v>
      </c>
      <c r="B148" s="67">
        <v>44.91</v>
      </c>
      <c r="C148" s="71"/>
      <c r="D148" s="71"/>
      <c r="E148" s="71"/>
      <c r="F148" s="68"/>
    </row>
    <row r="149" spans="1:6" ht="12.75">
      <c r="A149" s="79"/>
      <c r="F149" s="77"/>
    </row>
    <row r="150" spans="1:6" ht="12.75">
      <c r="A150" s="79"/>
      <c r="F150" s="77"/>
    </row>
    <row r="151" spans="1:6" ht="12.75">
      <c r="A151" s="59" t="s">
        <v>139</v>
      </c>
      <c r="B151" s="60"/>
      <c r="C151" s="60"/>
      <c r="D151" s="60"/>
      <c r="E151" s="60"/>
      <c r="F151" s="61"/>
    </row>
    <row r="152" spans="1:6" ht="12.75">
      <c r="A152" s="59" t="s">
        <v>80</v>
      </c>
      <c r="B152" s="60"/>
      <c r="C152" s="60"/>
      <c r="D152" s="60"/>
      <c r="E152" s="60"/>
      <c r="F152" s="61"/>
    </row>
    <row r="153" spans="1:6" ht="12.75">
      <c r="A153" s="62"/>
      <c r="B153" s="63" t="s">
        <v>81</v>
      </c>
      <c r="C153" s="63" t="s">
        <v>82</v>
      </c>
      <c r="D153" s="63" t="s">
        <v>83</v>
      </c>
      <c r="E153" s="63" t="s">
        <v>84</v>
      </c>
      <c r="F153" s="64"/>
    </row>
    <row r="154" spans="1:6" ht="12.75">
      <c r="A154" s="62"/>
      <c r="B154" s="65">
        <v>9000</v>
      </c>
      <c r="C154" s="65">
        <v>18000</v>
      </c>
      <c r="D154" s="65">
        <v>45000</v>
      </c>
      <c r="E154" s="65">
        <v>50000</v>
      </c>
      <c r="F154" s="66"/>
    </row>
    <row r="155" spans="1:6" ht="12.75">
      <c r="A155" s="62"/>
      <c r="B155" s="65"/>
      <c r="C155" s="65"/>
      <c r="D155" s="65"/>
      <c r="E155" s="65"/>
      <c r="F155" s="66"/>
    </row>
    <row r="156" spans="1:6" ht="12.75">
      <c r="A156" s="62" t="s">
        <v>87</v>
      </c>
      <c r="B156" s="65"/>
      <c r="C156" s="67">
        <v>0</v>
      </c>
      <c r="D156" s="67">
        <v>39.07</v>
      </c>
      <c r="E156" s="67">
        <v>0</v>
      </c>
      <c r="F156" s="61"/>
    </row>
    <row r="157" spans="1:6" ht="12.75">
      <c r="A157" s="62" t="s">
        <v>88</v>
      </c>
      <c r="B157" s="65"/>
      <c r="C157" s="67">
        <v>25.53</v>
      </c>
      <c r="D157" s="67">
        <v>30.64</v>
      </c>
      <c r="E157" s="67">
        <v>35.76</v>
      </c>
      <c r="F157" s="68"/>
    </row>
    <row r="158" spans="1:6" ht="12.75">
      <c r="A158" s="62" t="s">
        <v>89</v>
      </c>
      <c r="B158" s="65"/>
      <c r="C158" s="67">
        <v>30.77</v>
      </c>
      <c r="D158" s="67">
        <v>36.91</v>
      </c>
      <c r="E158" s="67">
        <v>43.07</v>
      </c>
      <c r="F158" s="68"/>
    </row>
    <row r="159" spans="1:6" ht="12.75">
      <c r="A159" s="62" t="s">
        <v>90</v>
      </c>
      <c r="B159" s="65"/>
      <c r="C159" s="67">
        <v>30.29</v>
      </c>
      <c r="D159" s="67">
        <v>36.35</v>
      </c>
      <c r="E159" s="67">
        <v>42.41</v>
      </c>
      <c r="F159" s="68"/>
    </row>
    <row r="160" spans="1:6" ht="12.75">
      <c r="A160" s="62" t="s">
        <v>91</v>
      </c>
      <c r="B160" s="65"/>
      <c r="C160" s="67">
        <v>29.66</v>
      </c>
      <c r="D160" s="67">
        <v>0</v>
      </c>
      <c r="E160" s="67">
        <v>41.51</v>
      </c>
      <c r="F160" s="68"/>
    </row>
    <row r="161" spans="1:6" ht="12.75">
      <c r="A161" s="62" t="s">
        <v>92</v>
      </c>
      <c r="B161" s="65"/>
      <c r="C161" s="67">
        <v>28.33</v>
      </c>
      <c r="D161" s="67">
        <v>34</v>
      </c>
      <c r="E161" s="67">
        <v>39.66</v>
      </c>
      <c r="F161" s="68"/>
    </row>
    <row r="162" spans="1:6" ht="12.75">
      <c r="A162" s="62" t="s">
        <v>6</v>
      </c>
      <c r="B162" s="65"/>
      <c r="C162" s="67">
        <v>33.57</v>
      </c>
      <c r="D162" s="67">
        <v>0</v>
      </c>
      <c r="E162" s="67">
        <v>47</v>
      </c>
      <c r="F162" s="68"/>
    </row>
    <row r="163" spans="1:6" ht="12.75">
      <c r="A163" s="62" t="s">
        <v>93</v>
      </c>
      <c r="B163" s="65"/>
      <c r="C163" s="67">
        <v>28.15</v>
      </c>
      <c r="D163" s="67">
        <v>33.78</v>
      </c>
      <c r="E163" s="67">
        <v>0</v>
      </c>
      <c r="F163" s="68"/>
    </row>
    <row r="164" spans="1:6" ht="12.75">
      <c r="A164" s="70"/>
      <c r="B164" s="67"/>
      <c r="C164" s="60"/>
      <c r="D164" s="60"/>
      <c r="E164" s="60"/>
      <c r="F164" s="68"/>
    </row>
    <row r="165" spans="1:6" ht="12.75">
      <c r="A165" s="62" t="s">
        <v>102</v>
      </c>
      <c r="B165" s="67">
        <v>7.93</v>
      </c>
      <c r="D165" s="71"/>
      <c r="E165" s="71"/>
      <c r="F165" s="68"/>
    </row>
    <row r="166" spans="1:6" ht="12.75">
      <c r="A166" s="62" t="s">
        <v>103</v>
      </c>
      <c r="B166" s="67">
        <v>23.48</v>
      </c>
      <c r="D166" s="71"/>
      <c r="E166" s="71"/>
      <c r="F166" s="68"/>
    </row>
    <row r="167" spans="1:6" ht="12.75">
      <c r="A167" s="62" t="s">
        <v>104</v>
      </c>
      <c r="B167" s="67">
        <v>22</v>
      </c>
      <c r="D167" s="71"/>
      <c r="E167" s="71"/>
      <c r="F167" s="68"/>
    </row>
    <row r="168" spans="1:6" ht="12.75">
      <c r="A168" s="62" t="s">
        <v>105</v>
      </c>
      <c r="B168" s="67">
        <v>6.87</v>
      </c>
      <c r="D168" s="71"/>
      <c r="E168" s="71"/>
      <c r="F168" s="68"/>
    </row>
    <row r="169" spans="1:6" ht="12.75">
      <c r="A169" s="62" t="s">
        <v>106</v>
      </c>
      <c r="B169" s="67">
        <v>4.67</v>
      </c>
      <c r="D169" s="71"/>
      <c r="E169" s="71"/>
      <c r="F169" s="68"/>
    </row>
    <row r="170" spans="1:6" ht="12.75">
      <c r="A170" s="62" t="s">
        <v>107</v>
      </c>
      <c r="B170" s="67">
        <v>34.18</v>
      </c>
      <c r="D170" s="71"/>
      <c r="E170" s="71"/>
      <c r="F170" s="68"/>
    </row>
    <row r="171" spans="1:6" ht="12.75">
      <c r="A171" s="62" t="s">
        <v>108</v>
      </c>
      <c r="B171" s="67">
        <v>11.29</v>
      </c>
      <c r="D171" s="71"/>
      <c r="E171" s="71"/>
      <c r="F171" s="68"/>
    </row>
    <row r="172" spans="1:6" ht="12.75">
      <c r="A172" s="62" t="s">
        <v>109</v>
      </c>
      <c r="B172" s="67">
        <v>10.29</v>
      </c>
      <c r="D172" s="71"/>
      <c r="E172" s="71"/>
      <c r="F172" s="68"/>
    </row>
    <row r="173" spans="1:6" ht="12.75">
      <c r="A173" s="62" t="s">
        <v>110</v>
      </c>
      <c r="B173" s="67">
        <v>27.1</v>
      </c>
      <c r="F173" s="77"/>
    </row>
    <row r="174" spans="1:6" ht="12.75">
      <c r="A174" s="62" t="s">
        <v>111</v>
      </c>
      <c r="B174" s="67">
        <v>15.44</v>
      </c>
      <c r="F174" s="77"/>
    </row>
    <row r="175" spans="1:6" ht="12.75">
      <c r="A175" s="72" t="s">
        <v>112</v>
      </c>
      <c r="B175" s="73">
        <v>4.06</v>
      </c>
      <c r="C175" s="80"/>
      <c r="D175" s="80"/>
      <c r="E175" s="80"/>
      <c r="F175" s="81"/>
    </row>
    <row r="178" spans="1:6" ht="12.75">
      <c r="A178" s="55" t="s">
        <v>140</v>
      </c>
      <c r="B178" s="56"/>
      <c r="C178" s="56"/>
      <c r="D178" s="56"/>
      <c r="E178" s="56"/>
      <c r="F178" s="57"/>
    </row>
    <row r="179" spans="1:6" ht="12.75">
      <c r="A179" s="59" t="s">
        <v>80</v>
      </c>
      <c r="B179" s="60"/>
      <c r="C179" s="60"/>
      <c r="D179" s="60"/>
      <c r="E179" s="60"/>
      <c r="F179" s="61"/>
    </row>
    <row r="180" spans="1:6" ht="12.75">
      <c r="A180" s="62"/>
      <c r="B180" s="63" t="s">
        <v>81</v>
      </c>
      <c r="C180" s="63" t="s">
        <v>82</v>
      </c>
      <c r="D180" s="63" t="s">
        <v>83</v>
      </c>
      <c r="E180" s="63" t="s">
        <v>84</v>
      </c>
      <c r="F180" s="64" t="s">
        <v>85</v>
      </c>
    </row>
    <row r="181" spans="1:6" ht="12.75">
      <c r="A181" s="62"/>
      <c r="B181" s="65">
        <v>9300</v>
      </c>
      <c r="C181" s="65">
        <v>18000</v>
      </c>
      <c r="D181" s="65">
        <v>45000</v>
      </c>
      <c r="E181" s="65">
        <v>50000</v>
      </c>
      <c r="F181" s="66" t="s">
        <v>86</v>
      </c>
    </row>
    <row r="182" spans="1:6" ht="12.75">
      <c r="A182" s="62"/>
      <c r="B182" s="65"/>
      <c r="C182" s="65"/>
      <c r="D182" s="65"/>
      <c r="E182" s="65"/>
      <c r="F182" s="66"/>
    </row>
    <row r="183" spans="1:6" ht="12.75">
      <c r="A183" s="62" t="s">
        <v>87</v>
      </c>
      <c r="B183" s="67">
        <v>11.26</v>
      </c>
      <c r="C183" s="67">
        <v>0</v>
      </c>
      <c r="D183" s="67">
        <v>64.23</v>
      </c>
      <c r="E183" s="67">
        <v>0</v>
      </c>
      <c r="F183" s="61"/>
    </row>
    <row r="184" spans="1:6" ht="12.75">
      <c r="A184" s="62" t="s">
        <v>88</v>
      </c>
      <c r="B184" s="67">
        <v>8.75</v>
      </c>
      <c r="C184" s="67">
        <v>48.93</v>
      </c>
      <c r="D184" s="67">
        <v>48.17</v>
      </c>
      <c r="E184" s="67">
        <v>49.46</v>
      </c>
      <c r="F184" s="68"/>
    </row>
    <row r="185" spans="1:6" ht="12.75">
      <c r="A185" s="62" t="s">
        <v>89</v>
      </c>
      <c r="B185" s="67">
        <v>5.55</v>
      </c>
      <c r="C185" s="67">
        <v>59.3</v>
      </c>
      <c r="D185" s="67">
        <v>60.61</v>
      </c>
      <c r="E185" s="67">
        <v>0</v>
      </c>
      <c r="F185" s="69">
        <v>109.03999999999999</v>
      </c>
    </row>
    <row r="186" spans="1:6" ht="12.75">
      <c r="A186" s="62" t="s">
        <v>90</v>
      </c>
      <c r="B186" s="67">
        <v>4.35</v>
      </c>
      <c r="C186" s="67">
        <v>56.43</v>
      </c>
      <c r="D186" s="67">
        <v>57.2</v>
      </c>
      <c r="E186" s="67">
        <v>59.97</v>
      </c>
      <c r="F186" s="69">
        <v>105.63</v>
      </c>
    </row>
    <row r="187" spans="1:6" ht="12.75">
      <c r="A187" s="62" t="s">
        <v>91</v>
      </c>
      <c r="B187" s="67">
        <v>3.56</v>
      </c>
      <c r="C187" s="67">
        <v>55.44</v>
      </c>
      <c r="D187" s="67">
        <v>0</v>
      </c>
      <c r="E187" s="67">
        <v>58.59</v>
      </c>
      <c r="F187" s="68"/>
    </row>
    <row r="188" spans="1:6" ht="12.75">
      <c r="A188" s="62" t="s">
        <v>92</v>
      </c>
      <c r="B188" s="67">
        <v>7.61</v>
      </c>
      <c r="C188" s="67">
        <v>53.97</v>
      </c>
      <c r="D188" s="67">
        <v>54.23</v>
      </c>
      <c r="E188" s="67">
        <v>56.52</v>
      </c>
      <c r="F188" s="68"/>
    </row>
    <row r="189" spans="1:6" ht="12.75">
      <c r="A189" s="62" t="s">
        <v>6</v>
      </c>
      <c r="B189" s="67">
        <v>4.06</v>
      </c>
      <c r="C189" s="67">
        <v>62.52</v>
      </c>
      <c r="D189" s="67">
        <v>0</v>
      </c>
      <c r="E189" s="67">
        <v>68.49</v>
      </c>
      <c r="F189" s="68"/>
    </row>
    <row r="190" spans="1:6" ht="12.75">
      <c r="A190" s="62" t="s">
        <v>93</v>
      </c>
      <c r="B190" s="67">
        <v>4.31</v>
      </c>
      <c r="C190" s="67">
        <v>54.01</v>
      </c>
      <c r="D190" s="67">
        <v>54.3</v>
      </c>
      <c r="E190" s="67">
        <v>0</v>
      </c>
      <c r="F190" s="68"/>
    </row>
    <row r="191" spans="1:6" ht="12.75">
      <c r="A191" s="70"/>
      <c r="B191" s="67"/>
      <c r="C191" s="60"/>
      <c r="D191" s="60"/>
      <c r="E191" s="60"/>
      <c r="F191" s="68"/>
    </row>
    <row r="192" spans="1:6" ht="12.75">
      <c r="A192" s="62" t="s">
        <v>94</v>
      </c>
      <c r="B192" s="67">
        <v>71.85</v>
      </c>
      <c r="C192" s="71"/>
      <c r="D192" s="71"/>
      <c r="E192" s="71"/>
      <c r="F192" s="68"/>
    </row>
    <row r="193" spans="1:6" ht="12.75">
      <c r="A193" s="62" t="s">
        <v>95</v>
      </c>
      <c r="B193" s="67">
        <v>26.15</v>
      </c>
      <c r="C193" s="71"/>
      <c r="D193" s="71"/>
      <c r="E193" s="71"/>
      <c r="F193" s="68"/>
    </row>
    <row r="194" spans="1:6" ht="12.75">
      <c r="A194" s="62" t="s">
        <v>96</v>
      </c>
      <c r="B194" s="67">
        <v>19.32</v>
      </c>
      <c r="C194" s="71"/>
      <c r="D194" s="71"/>
      <c r="E194" s="71"/>
      <c r="F194" s="68"/>
    </row>
    <row r="195" spans="1:6" ht="12.75">
      <c r="A195" s="62" t="s">
        <v>97</v>
      </c>
      <c r="B195" s="67">
        <v>53.82</v>
      </c>
      <c r="C195" s="71"/>
      <c r="D195" s="71"/>
      <c r="E195" s="71"/>
      <c r="F195" s="68"/>
    </row>
    <row r="196" spans="1:6" ht="12.75">
      <c r="A196" s="62" t="s">
        <v>98</v>
      </c>
      <c r="B196" s="67">
        <v>7.12</v>
      </c>
      <c r="C196" s="71"/>
      <c r="D196" s="71"/>
      <c r="E196" s="71"/>
      <c r="F196" s="68"/>
    </row>
    <row r="197" spans="1:6" ht="12.75">
      <c r="A197" s="62" t="s">
        <v>99</v>
      </c>
      <c r="B197" s="67">
        <v>29.48</v>
      </c>
      <c r="C197" s="71"/>
      <c r="D197" s="71"/>
      <c r="E197" s="71"/>
      <c r="F197" s="68"/>
    </row>
    <row r="198" spans="1:6" ht="12.75">
      <c r="A198" s="62" t="s">
        <v>100</v>
      </c>
      <c r="B198" s="67">
        <v>27.72</v>
      </c>
      <c r="C198" s="71"/>
      <c r="D198" s="71"/>
      <c r="E198" s="71"/>
      <c r="F198" s="68"/>
    </row>
    <row r="199" spans="1:6" ht="12.75">
      <c r="A199" s="62" t="s">
        <v>101</v>
      </c>
      <c r="B199" s="67">
        <v>47.29</v>
      </c>
      <c r="C199" s="71"/>
      <c r="D199" s="71"/>
      <c r="E199" s="71"/>
      <c r="F199" s="68"/>
    </row>
    <row r="200" spans="1:6" ht="12.75">
      <c r="A200" s="79"/>
      <c r="F200" s="77"/>
    </row>
    <row r="201" spans="1:6" ht="12.75">
      <c r="A201" s="79"/>
      <c r="F201" s="77"/>
    </row>
    <row r="202" spans="1:6" ht="12.75">
      <c r="A202" s="59" t="s">
        <v>141</v>
      </c>
      <c r="B202" s="60"/>
      <c r="C202" s="60"/>
      <c r="D202" s="60"/>
      <c r="E202" s="60"/>
      <c r="F202" s="61"/>
    </row>
    <row r="203" spans="1:6" ht="12.75">
      <c r="A203" s="59" t="s">
        <v>80</v>
      </c>
      <c r="B203" s="60"/>
      <c r="C203" s="60"/>
      <c r="D203" s="60"/>
      <c r="E203" s="60"/>
      <c r="F203" s="61"/>
    </row>
    <row r="204" spans="1:6" ht="12.75">
      <c r="A204" s="62"/>
      <c r="B204" s="63" t="s">
        <v>81</v>
      </c>
      <c r="C204" s="63" t="s">
        <v>82</v>
      </c>
      <c r="D204" s="63" t="s">
        <v>83</v>
      </c>
      <c r="E204" s="63" t="s">
        <v>84</v>
      </c>
      <c r="F204" s="64"/>
    </row>
    <row r="205" spans="1:6" ht="12.75">
      <c r="A205" s="62"/>
      <c r="B205" s="65">
        <v>9000</v>
      </c>
      <c r="C205" s="65">
        <v>18000</v>
      </c>
      <c r="D205" s="65">
        <v>45000</v>
      </c>
      <c r="E205" s="65">
        <v>50000</v>
      </c>
      <c r="F205" s="66"/>
    </row>
    <row r="206" spans="1:6" ht="12.75">
      <c r="A206" s="62"/>
      <c r="B206" s="65"/>
      <c r="C206" s="65"/>
      <c r="D206" s="65"/>
      <c r="E206" s="65"/>
      <c r="F206" s="66"/>
    </row>
    <row r="207" spans="1:6" ht="12.75">
      <c r="A207" s="62" t="s">
        <v>87</v>
      </c>
      <c r="B207" s="65"/>
      <c r="C207" s="67">
        <v>0</v>
      </c>
      <c r="D207" s="67">
        <v>41.14</v>
      </c>
      <c r="E207" s="67">
        <v>0</v>
      </c>
      <c r="F207" s="61"/>
    </row>
    <row r="208" spans="1:6" ht="12.75">
      <c r="A208" s="62" t="s">
        <v>88</v>
      </c>
      <c r="B208" s="65"/>
      <c r="C208" s="67">
        <v>26.88</v>
      </c>
      <c r="D208" s="67">
        <v>32.27</v>
      </c>
      <c r="E208" s="67">
        <v>37.66</v>
      </c>
      <c r="F208" s="68"/>
    </row>
    <row r="209" spans="1:6" ht="12.75">
      <c r="A209" s="62" t="s">
        <v>89</v>
      </c>
      <c r="B209" s="65"/>
      <c r="C209" s="67">
        <v>32.4</v>
      </c>
      <c r="D209" s="67">
        <v>38.87</v>
      </c>
      <c r="E209" s="67">
        <v>45.36</v>
      </c>
      <c r="F209" s="68"/>
    </row>
    <row r="210" spans="1:6" ht="12.75">
      <c r="A210" s="62" t="s">
        <v>90</v>
      </c>
      <c r="B210" s="65"/>
      <c r="C210" s="67">
        <v>31.9</v>
      </c>
      <c r="D210" s="67">
        <v>38.28</v>
      </c>
      <c r="E210" s="67">
        <v>44.66</v>
      </c>
      <c r="F210" s="68"/>
    </row>
    <row r="211" spans="1:6" ht="12.75">
      <c r="A211" s="62" t="s">
        <v>91</v>
      </c>
      <c r="B211" s="65"/>
      <c r="C211" s="67">
        <v>31.23</v>
      </c>
      <c r="D211" s="67">
        <v>0</v>
      </c>
      <c r="E211" s="67">
        <v>43.71</v>
      </c>
      <c r="F211" s="68"/>
    </row>
    <row r="212" spans="1:6" ht="12.75">
      <c r="A212" s="62" t="s">
        <v>92</v>
      </c>
      <c r="B212" s="65"/>
      <c r="C212" s="67">
        <v>29.83</v>
      </c>
      <c r="D212" s="67">
        <v>35.8</v>
      </c>
      <c r="E212" s="67">
        <v>41.76</v>
      </c>
      <c r="F212" s="68"/>
    </row>
    <row r="213" spans="1:6" ht="12.75">
      <c r="A213" s="62" t="s">
        <v>6</v>
      </c>
      <c r="B213" s="65"/>
      <c r="C213" s="67">
        <v>35.35</v>
      </c>
      <c r="D213" s="67">
        <v>0</v>
      </c>
      <c r="E213" s="67">
        <v>49.49</v>
      </c>
      <c r="F213" s="68"/>
    </row>
    <row r="214" spans="1:6" ht="12.75">
      <c r="A214" s="62" t="s">
        <v>93</v>
      </c>
      <c r="B214" s="65"/>
      <c r="C214" s="67">
        <v>29.64</v>
      </c>
      <c r="D214" s="67">
        <v>35.57</v>
      </c>
      <c r="E214" s="67">
        <v>0</v>
      </c>
      <c r="F214" s="68"/>
    </row>
    <row r="215" spans="1:6" ht="12.75">
      <c r="A215" s="70"/>
      <c r="B215" s="67"/>
      <c r="C215" s="60"/>
      <c r="D215" s="60"/>
      <c r="E215" s="60"/>
      <c r="F215" s="68"/>
    </row>
    <row r="216" spans="1:6" ht="12.75">
      <c r="A216" s="62" t="s">
        <v>163</v>
      </c>
      <c r="B216" s="67">
        <v>8.35</v>
      </c>
      <c r="D216" s="71"/>
      <c r="E216" s="71"/>
      <c r="F216" s="68"/>
    </row>
    <row r="217" spans="1:6" ht="12.75">
      <c r="A217" s="62" t="s">
        <v>164</v>
      </c>
      <c r="B217" s="67">
        <v>24.73</v>
      </c>
      <c r="D217" s="71"/>
      <c r="E217" s="71"/>
      <c r="F217" s="68"/>
    </row>
    <row r="218" spans="1:6" ht="12.75">
      <c r="A218" s="62" t="s">
        <v>165</v>
      </c>
      <c r="B218" s="67">
        <v>23.17</v>
      </c>
      <c r="D218" s="71"/>
      <c r="E218" s="71"/>
      <c r="F218" s="68"/>
    </row>
    <row r="219" spans="1:6" ht="12.75">
      <c r="A219" s="62" t="s">
        <v>96</v>
      </c>
      <c r="B219" s="67">
        <v>7.23</v>
      </c>
      <c r="D219" s="71"/>
      <c r="E219" s="71"/>
      <c r="F219" s="68"/>
    </row>
    <row r="220" spans="1:6" ht="12.75">
      <c r="A220" s="62" t="s">
        <v>166</v>
      </c>
      <c r="B220" s="67">
        <v>4.92</v>
      </c>
      <c r="D220" s="71"/>
      <c r="E220" s="71"/>
      <c r="F220" s="68"/>
    </row>
    <row r="221" spans="1:6" ht="12.75">
      <c r="A221" s="62" t="s">
        <v>97</v>
      </c>
      <c r="B221" s="67">
        <v>35.99</v>
      </c>
      <c r="D221" s="71"/>
      <c r="E221" s="71"/>
      <c r="F221" s="68"/>
    </row>
    <row r="222" spans="1:6" ht="12.75">
      <c r="A222" s="62" t="s">
        <v>98</v>
      </c>
      <c r="B222" s="67">
        <v>11.89</v>
      </c>
      <c r="D222" s="71"/>
      <c r="E222" s="71"/>
      <c r="F222" s="68"/>
    </row>
    <row r="223" spans="1:6" ht="12.75">
      <c r="A223" s="62" t="s">
        <v>99</v>
      </c>
      <c r="B223" s="67">
        <v>10.84</v>
      </c>
      <c r="D223" s="71"/>
      <c r="E223" s="71"/>
      <c r="F223" s="68"/>
    </row>
    <row r="224" spans="1:6" ht="12.75">
      <c r="A224" s="62" t="s">
        <v>167</v>
      </c>
      <c r="B224" s="67">
        <v>28.54</v>
      </c>
      <c r="F224" s="77"/>
    </row>
    <row r="225" spans="1:6" ht="12.75">
      <c r="A225" s="62" t="s">
        <v>168</v>
      </c>
      <c r="B225" s="67">
        <v>16.26</v>
      </c>
      <c r="F225" s="77"/>
    </row>
    <row r="226" spans="1:6" ht="12.75">
      <c r="A226" s="72" t="s">
        <v>169</v>
      </c>
      <c r="B226" s="73">
        <v>4.28</v>
      </c>
      <c r="C226" s="80"/>
      <c r="D226" s="80"/>
      <c r="E226" s="80"/>
      <c r="F226" s="81"/>
    </row>
    <row r="229" spans="1:6" ht="12.75">
      <c r="A229" s="55" t="s">
        <v>185</v>
      </c>
      <c r="B229" s="56"/>
      <c r="C229" s="56"/>
      <c r="D229" s="56"/>
      <c r="E229" s="56"/>
      <c r="F229" s="57"/>
    </row>
    <row r="230" spans="1:6" ht="12.75">
      <c r="A230" s="59" t="s">
        <v>80</v>
      </c>
      <c r="B230" s="60"/>
      <c r="C230" s="60"/>
      <c r="D230" s="60"/>
      <c r="E230" s="60"/>
      <c r="F230" s="61"/>
    </row>
    <row r="231" spans="1:6" ht="12.75">
      <c r="A231" s="62"/>
      <c r="B231" s="63" t="s">
        <v>81</v>
      </c>
      <c r="C231" s="63" t="s">
        <v>82</v>
      </c>
      <c r="D231" s="63" t="s">
        <v>83</v>
      </c>
      <c r="E231" s="63" t="s">
        <v>84</v>
      </c>
      <c r="F231" s="64" t="s">
        <v>173</v>
      </c>
    </row>
    <row r="232" spans="1:6" ht="12.75">
      <c r="A232" s="62"/>
      <c r="B232" s="65">
        <v>10000</v>
      </c>
      <c r="C232" s="65">
        <v>20000</v>
      </c>
      <c r="D232" s="65">
        <v>50000</v>
      </c>
      <c r="E232" s="65">
        <v>50000</v>
      </c>
      <c r="F232" s="66" t="s">
        <v>86</v>
      </c>
    </row>
    <row r="233" spans="1:6" ht="12.75">
      <c r="A233" s="62"/>
      <c r="B233" s="65"/>
      <c r="C233" s="65"/>
      <c r="D233" s="65"/>
      <c r="E233" s="65"/>
      <c r="F233" s="100">
        <v>49.97</v>
      </c>
    </row>
    <row r="234" spans="1:6" ht="12.75">
      <c r="A234" s="62" t="s">
        <v>87</v>
      </c>
      <c r="B234" s="67">
        <v>11.61</v>
      </c>
      <c r="C234" s="67">
        <v>95.58</v>
      </c>
      <c r="D234" s="67">
        <v>108.72</v>
      </c>
      <c r="E234" s="67">
        <v>119.51</v>
      </c>
      <c r="F234" s="61"/>
    </row>
    <row r="235" spans="1:6" ht="12.75">
      <c r="A235" s="62" t="s">
        <v>88</v>
      </c>
      <c r="B235" s="67">
        <v>9.03</v>
      </c>
      <c r="C235" s="67">
        <v>78.22</v>
      </c>
      <c r="D235" s="67">
        <v>82.99</v>
      </c>
      <c r="E235" s="67">
        <v>89.89</v>
      </c>
      <c r="F235" s="68"/>
    </row>
    <row r="236" spans="1:6" ht="12.75">
      <c r="A236" s="62" t="s">
        <v>89</v>
      </c>
      <c r="B236" s="67">
        <v>5.73</v>
      </c>
      <c r="C236" s="67">
        <v>94.61</v>
      </c>
      <c r="D236" s="67">
        <v>102.64</v>
      </c>
      <c r="E236" s="67">
        <v>120.93</v>
      </c>
      <c r="F236" s="69"/>
    </row>
    <row r="237" spans="1:6" ht="12.75">
      <c r="A237" s="62" t="s">
        <v>90</v>
      </c>
      <c r="B237" s="67">
        <v>4.49</v>
      </c>
      <c r="C237" s="67">
        <v>91.14</v>
      </c>
      <c r="D237" s="67">
        <v>98.51</v>
      </c>
      <c r="E237" s="67">
        <v>107.96</v>
      </c>
      <c r="F237" s="69"/>
    </row>
    <row r="238" spans="1:6" ht="12.75">
      <c r="A238" s="62" t="s">
        <v>91</v>
      </c>
      <c r="B238" s="67">
        <v>3.67</v>
      </c>
      <c r="C238" s="67">
        <v>89.43</v>
      </c>
      <c r="D238" s="67">
        <v>96.04</v>
      </c>
      <c r="E238" s="67">
        <v>105.56</v>
      </c>
      <c r="F238" s="68"/>
    </row>
    <row r="239" spans="1:6" ht="12.75">
      <c r="A239" s="62" t="s">
        <v>92</v>
      </c>
      <c r="B239" s="67">
        <v>7.86</v>
      </c>
      <c r="C239" s="67">
        <v>86.46</v>
      </c>
      <c r="D239" s="67">
        <v>92.9</v>
      </c>
      <c r="E239" s="67">
        <v>101.4</v>
      </c>
      <c r="F239" s="68"/>
    </row>
    <row r="240" spans="1:6" ht="12.75">
      <c r="A240" s="62" t="s">
        <v>6</v>
      </c>
      <c r="B240" s="67">
        <v>4.19</v>
      </c>
      <c r="C240" s="67">
        <v>100.98</v>
      </c>
      <c r="D240" s="67">
        <v>107.59</v>
      </c>
      <c r="E240" s="67">
        <v>121.73</v>
      </c>
      <c r="F240" s="68"/>
    </row>
    <row r="241" spans="1:6" ht="12.75">
      <c r="A241" s="72" t="s">
        <v>93</v>
      </c>
      <c r="B241" s="73">
        <v>4.44</v>
      </c>
      <c r="C241" s="73">
        <v>86.31</v>
      </c>
      <c r="D241" s="73">
        <v>92.72</v>
      </c>
      <c r="E241" s="73">
        <v>103.51</v>
      </c>
      <c r="F241" s="75"/>
    </row>
    <row r="243" spans="1:6" ht="12.75">
      <c r="A243" s="55" t="s">
        <v>186</v>
      </c>
      <c r="B243" s="56"/>
      <c r="C243" s="56"/>
      <c r="D243" s="56"/>
      <c r="E243" s="56"/>
      <c r="F243" s="57"/>
    </row>
    <row r="244" spans="1:6" ht="12.75">
      <c r="A244" s="59" t="s">
        <v>80</v>
      </c>
      <c r="B244" s="60"/>
      <c r="C244" s="60"/>
      <c r="D244" s="60"/>
      <c r="E244" s="60"/>
      <c r="F244" s="61"/>
    </row>
    <row r="245" spans="1:6" ht="12.75">
      <c r="A245" s="62"/>
      <c r="B245" s="63" t="s">
        <v>81</v>
      </c>
      <c r="C245" s="63" t="s">
        <v>82</v>
      </c>
      <c r="D245" s="63" t="s">
        <v>83</v>
      </c>
      <c r="E245" s="63" t="s">
        <v>84</v>
      </c>
      <c r="F245" s="64" t="s">
        <v>173</v>
      </c>
    </row>
    <row r="246" spans="1:6" ht="12.75">
      <c r="A246" s="62"/>
      <c r="B246" s="65">
        <v>10000</v>
      </c>
      <c r="C246" s="65">
        <v>20000</v>
      </c>
      <c r="D246" s="65">
        <v>50000</v>
      </c>
      <c r="E246" s="65">
        <v>50000</v>
      </c>
      <c r="F246" s="66" t="s">
        <v>86</v>
      </c>
    </row>
    <row r="247" spans="1:6" ht="12.75">
      <c r="A247" s="62"/>
      <c r="B247" s="65"/>
      <c r="C247" s="65"/>
      <c r="D247" s="65"/>
      <c r="E247" s="65"/>
      <c r="F247" s="100">
        <v>52.27</v>
      </c>
    </row>
    <row r="248" spans="1:6" ht="12.75">
      <c r="A248" s="62" t="s">
        <v>87</v>
      </c>
      <c r="B248" s="67">
        <v>12.14</v>
      </c>
      <c r="C248" s="67">
        <v>99.98</v>
      </c>
      <c r="D248" s="67">
        <v>113.72</v>
      </c>
      <c r="E248" s="67">
        <v>125.01</v>
      </c>
      <c r="F248" s="61"/>
    </row>
    <row r="249" spans="1:6" ht="12.75">
      <c r="A249" s="62" t="s">
        <v>88</v>
      </c>
      <c r="B249" s="67">
        <v>9.45</v>
      </c>
      <c r="C249" s="67">
        <v>81.82</v>
      </c>
      <c r="D249" s="67">
        <v>86.81</v>
      </c>
      <c r="E249" s="67">
        <v>94.03</v>
      </c>
      <c r="F249" s="68"/>
    </row>
    <row r="250" spans="1:6" ht="12.75">
      <c r="A250" s="62" t="s">
        <v>89</v>
      </c>
      <c r="B250" s="67">
        <v>5.99</v>
      </c>
      <c r="C250" s="67">
        <v>98.97</v>
      </c>
      <c r="D250" s="67">
        <v>107.37</v>
      </c>
      <c r="E250" s="67">
        <v>126.5</v>
      </c>
      <c r="F250" s="69"/>
    </row>
    <row r="251" spans="1:6" ht="12.75">
      <c r="A251" s="62" t="s">
        <v>90</v>
      </c>
      <c r="B251" s="67">
        <v>4.7</v>
      </c>
      <c r="C251" s="67">
        <v>95.34</v>
      </c>
      <c r="D251" s="67">
        <v>103.04</v>
      </c>
      <c r="E251" s="67">
        <v>112.93</v>
      </c>
      <c r="F251" s="69"/>
    </row>
    <row r="252" spans="1:6" ht="12.75">
      <c r="A252" s="62" t="s">
        <v>91</v>
      </c>
      <c r="B252" s="67">
        <v>3.84</v>
      </c>
      <c r="C252" s="67">
        <v>93.55</v>
      </c>
      <c r="D252" s="67">
        <v>100.46</v>
      </c>
      <c r="E252" s="67">
        <v>110.42</v>
      </c>
      <c r="F252" s="68"/>
    </row>
    <row r="253" spans="1:6" ht="12.75">
      <c r="A253" s="62" t="s">
        <v>92</v>
      </c>
      <c r="B253" s="67">
        <v>8.22</v>
      </c>
      <c r="C253" s="67">
        <v>90.44</v>
      </c>
      <c r="D253" s="67">
        <v>97.18</v>
      </c>
      <c r="E253" s="67">
        <v>106.07</v>
      </c>
      <c r="F253" s="68"/>
    </row>
    <row r="254" spans="1:6" ht="12.75">
      <c r="A254" s="62" t="s">
        <v>6</v>
      </c>
      <c r="B254" s="67">
        <v>4.38</v>
      </c>
      <c r="C254" s="67">
        <v>105.63</v>
      </c>
      <c r="D254" s="67">
        <v>112.54</v>
      </c>
      <c r="E254" s="67">
        <v>127.33</v>
      </c>
      <c r="F254" s="68"/>
    </row>
    <row r="255" spans="1:6" ht="12.75">
      <c r="A255" s="72" t="s">
        <v>93</v>
      </c>
      <c r="B255" s="73">
        <v>4.64</v>
      </c>
      <c r="C255" s="73">
        <v>90.28</v>
      </c>
      <c r="D255" s="73">
        <v>96.99</v>
      </c>
      <c r="E255" s="73">
        <v>108.28</v>
      </c>
      <c r="F255" s="75"/>
    </row>
    <row r="256" ht="12.75">
      <c r="B256" s="67"/>
    </row>
    <row r="257" spans="1:6" ht="12.75">
      <c r="A257" s="55" t="s">
        <v>187</v>
      </c>
      <c r="B257" s="56"/>
      <c r="C257" s="56"/>
      <c r="D257" s="56"/>
      <c r="E257" s="56"/>
      <c r="F257" s="57"/>
    </row>
    <row r="258" spans="1:6" ht="12.75">
      <c r="A258" s="59" t="s">
        <v>80</v>
      </c>
      <c r="B258" s="60"/>
      <c r="C258" s="60"/>
      <c r="D258" s="60"/>
      <c r="E258" s="60"/>
      <c r="F258" s="61"/>
    </row>
    <row r="259" spans="1:6" ht="12.75">
      <c r="A259" s="62"/>
      <c r="B259" s="63" t="s">
        <v>81</v>
      </c>
      <c r="C259" s="63" t="s">
        <v>82</v>
      </c>
      <c r="D259" s="63" t="s">
        <v>83</v>
      </c>
      <c r="E259" s="63" t="s">
        <v>84</v>
      </c>
      <c r="F259" s="64" t="s">
        <v>173</v>
      </c>
    </row>
    <row r="260" spans="1:6" ht="12.75">
      <c r="A260" s="62"/>
      <c r="B260" s="65">
        <v>10000</v>
      </c>
      <c r="C260" s="65">
        <v>20000</v>
      </c>
      <c r="D260" s="65">
        <v>50000</v>
      </c>
      <c r="E260" s="65">
        <v>50000</v>
      </c>
      <c r="F260" s="66" t="s">
        <v>86</v>
      </c>
    </row>
    <row r="261" spans="1:6" ht="12.75">
      <c r="A261" s="62"/>
      <c r="B261" s="65"/>
      <c r="C261" s="65"/>
      <c r="D261" s="65"/>
      <c r="E261" s="65"/>
      <c r="F261" s="100">
        <v>52.41</v>
      </c>
    </row>
    <row r="262" spans="1:6" ht="12.75">
      <c r="A262" s="62" t="s">
        <v>87</v>
      </c>
      <c r="B262" s="67">
        <v>12.17</v>
      </c>
      <c r="C262" s="67">
        <v>100.25</v>
      </c>
      <c r="D262" s="67">
        <v>114.03</v>
      </c>
      <c r="E262" s="67">
        <v>125.35</v>
      </c>
      <c r="F262" s="61"/>
    </row>
    <row r="263" spans="1:6" ht="12.75">
      <c r="A263" s="62" t="s">
        <v>88</v>
      </c>
      <c r="B263" s="67">
        <v>9.48</v>
      </c>
      <c r="C263" s="67">
        <v>82.04</v>
      </c>
      <c r="D263" s="67">
        <v>87.05</v>
      </c>
      <c r="E263" s="67">
        <v>94.28</v>
      </c>
      <c r="F263" s="68"/>
    </row>
    <row r="264" spans="1:6" ht="12.75">
      <c r="A264" s="62" t="s">
        <v>89</v>
      </c>
      <c r="B264" s="67">
        <v>6.01</v>
      </c>
      <c r="C264" s="67">
        <v>99.24</v>
      </c>
      <c r="D264" s="67">
        <v>107.66</v>
      </c>
      <c r="E264" s="67">
        <v>126.84</v>
      </c>
      <c r="F264" s="69"/>
    </row>
    <row r="265" spans="1:6" ht="12.75">
      <c r="A265" s="62" t="s">
        <v>90</v>
      </c>
      <c r="B265" s="67">
        <v>4.71</v>
      </c>
      <c r="C265" s="67">
        <v>95.6</v>
      </c>
      <c r="D265" s="67">
        <v>103.32</v>
      </c>
      <c r="E265" s="67">
        <v>113.24</v>
      </c>
      <c r="F265" s="69"/>
    </row>
    <row r="266" spans="1:6" ht="12.75">
      <c r="A266" s="62" t="s">
        <v>91</v>
      </c>
      <c r="B266" s="67">
        <v>3.85</v>
      </c>
      <c r="C266" s="67">
        <v>93.8</v>
      </c>
      <c r="D266" s="67">
        <v>100.73</v>
      </c>
      <c r="E266" s="67">
        <v>110.72</v>
      </c>
      <c r="F266" s="68"/>
    </row>
    <row r="267" spans="1:6" ht="12.75">
      <c r="A267" s="62" t="s">
        <v>92</v>
      </c>
      <c r="B267" s="67">
        <v>8.24</v>
      </c>
      <c r="C267" s="67">
        <v>90.68</v>
      </c>
      <c r="D267" s="67">
        <v>97.44</v>
      </c>
      <c r="E267" s="67">
        <v>106.36</v>
      </c>
      <c r="F267" s="68"/>
    </row>
    <row r="268" spans="1:6" ht="12.75">
      <c r="A268" s="62" t="s">
        <v>6</v>
      </c>
      <c r="B268" s="67">
        <v>4.39</v>
      </c>
      <c r="C268" s="67">
        <v>105.92</v>
      </c>
      <c r="D268" s="67">
        <v>112.84</v>
      </c>
      <c r="E268" s="67">
        <v>127.67</v>
      </c>
      <c r="F268" s="68"/>
    </row>
    <row r="269" spans="1:6" ht="12.75">
      <c r="A269" s="72" t="s">
        <v>93</v>
      </c>
      <c r="B269" s="73">
        <v>4.65</v>
      </c>
      <c r="C269" s="73">
        <v>90.52</v>
      </c>
      <c r="D269" s="73">
        <v>97.25</v>
      </c>
      <c r="E269" s="73">
        <v>108.57</v>
      </c>
      <c r="F269" s="75"/>
    </row>
    <row r="271" spans="1:6" ht="12.75">
      <c r="A271" s="55" t="s">
        <v>188</v>
      </c>
      <c r="B271" s="56"/>
      <c r="C271" s="56"/>
      <c r="D271" s="56"/>
      <c r="E271" s="56"/>
      <c r="F271" s="57"/>
    </row>
    <row r="272" spans="1:6" ht="12.75">
      <c r="A272" s="59" t="s">
        <v>80</v>
      </c>
      <c r="B272" s="60"/>
      <c r="C272" s="60"/>
      <c r="D272" s="60"/>
      <c r="E272" s="60"/>
      <c r="F272" s="61"/>
    </row>
    <row r="273" spans="1:6" ht="12.75">
      <c r="A273" s="62"/>
      <c r="B273" s="63" t="s">
        <v>81</v>
      </c>
      <c r="C273" s="63" t="s">
        <v>82</v>
      </c>
      <c r="D273" s="63" t="s">
        <v>83</v>
      </c>
      <c r="E273" s="63" t="s">
        <v>84</v>
      </c>
      <c r="F273" s="64" t="s">
        <v>173</v>
      </c>
    </row>
    <row r="274" spans="1:6" ht="12.75">
      <c r="A274" s="62"/>
      <c r="B274" s="65">
        <v>10000</v>
      </c>
      <c r="C274" s="65">
        <v>20000</v>
      </c>
      <c r="D274" s="65">
        <v>50000</v>
      </c>
      <c r="E274" s="65">
        <v>50000</v>
      </c>
      <c r="F274" s="66" t="s">
        <v>86</v>
      </c>
    </row>
    <row r="275" spans="1:6" ht="12.75">
      <c r="A275" s="62"/>
      <c r="B275" s="65"/>
      <c r="C275" s="65"/>
      <c r="D275" s="65"/>
      <c r="E275" s="65"/>
      <c r="F275" s="100">
        <v>54.01</v>
      </c>
    </row>
    <row r="276" spans="1:6" ht="12.75">
      <c r="A276" s="62" t="s">
        <v>87</v>
      </c>
      <c r="B276" s="67">
        <v>12.54</v>
      </c>
      <c r="C276" s="67">
        <v>103.31</v>
      </c>
      <c r="D276" s="67">
        <v>117.51</v>
      </c>
      <c r="E276" s="67">
        <v>129.18</v>
      </c>
      <c r="F276" s="61"/>
    </row>
    <row r="277" spans="1:6" ht="12.75">
      <c r="A277" s="62" t="s">
        <v>88</v>
      </c>
      <c r="B277" s="67">
        <v>9.77</v>
      </c>
      <c r="C277" s="67">
        <v>84.54</v>
      </c>
      <c r="D277" s="67">
        <v>89.71</v>
      </c>
      <c r="E277" s="67">
        <v>97.16</v>
      </c>
      <c r="F277" s="68"/>
    </row>
    <row r="278" spans="1:6" ht="12.75">
      <c r="A278" s="62" t="s">
        <v>89</v>
      </c>
      <c r="B278" s="67">
        <v>6.19</v>
      </c>
      <c r="C278" s="67">
        <v>102.27</v>
      </c>
      <c r="D278" s="67">
        <v>110.95</v>
      </c>
      <c r="E278" s="67">
        <v>130.71</v>
      </c>
      <c r="F278" s="69"/>
    </row>
    <row r="279" spans="1:6" ht="12.75">
      <c r="A279" s="62" t="s">
        <v>90</v>
      </c>
      <c r="B279" s="67">
        <v>4.85</v>
      </c>
      <c r="C279" s="67">
        <v>98.52</v>
      </c>
      <c r="D279" s="67">
        <v>106.47</v>
      </c>
      <c r="E279" s="67">
        <v>116.7</v>
      </c>
      <c r="F279" s="69"/>
    </row>
    <row r="280" spans="1:6" ht="12.75">
      <c r="A280" s="62" t="s">
        <v>91</v>
      </c>
      <c r="B280" s="67">
        <v>3.97</v>
      </c>
      <c r="C280" s="67">
        <v>96.66</v>
      </c>
      <c r="D280" s="67">
        <v>103.81</v>
      </c>
      <c r="E280" s="67">
        <v>114.1</v>
      </c>
      <c r="F280" s="68"/>
    </row>
    <row r="281" spans="1:6" ht="12.75">
      <c r="A281" s="62" t="s">
        <v>92</v>
      </c>
      <c r="B281" s="67">
        <v>8.49</v>
      </c>
      <c r="C281" s="67">
        <v>93.45</v>
      </c>
      <c r="D281" s="67">
        <v>100.42</v>
      </c>
      <c r="E281" s="67">
        <v>109.61</v>
      </c>
      <c r="F281" s="68"/>
    </row>
    <row r="282" spans="1:6" ht="12.75">
      <c r="A282" s="62" t="s">
        <v>6</v>
      </c>
      <c r="B282" s="67">
        <v>4.52</v>
      </c>
      <c r="C282" s="67">
        <v>109.15</v>
      </c>
      <c r="D282" s="67">
        <v>116.29</v>
      </c>
      <c r="E282" s="67">
        <v>131.57</v>
      </c>
      <c r="F282" s="68"/>
    </row>
    <row r="283" spans="1:6" ht="12.75">
      <c r="A283" s="72" t="s">
        <v>93</v>
      </c>
      <c r="B283" s="73">
        <v>4.79</v>
      </c>
      <c r="C283" s="73">
        <v>93.28</v>
      </c>
      <c r="D283" s="73">
        <v>100.22</v>
      </c>
      <c r="E283" s="73">
        <v>111.89</v>
      </c>
      <c r="F283" s="75"/>
    </row>
    <row r="285" spans="1:6" ht="12.75">
      <c r="A285" s="55" t="s">
        <v>189</v>
      </c>
      <c r="B285" s="56"/>
      <c r="C285" s="56"/>
      <c r="D285" s="56"/>
      <c r="E285" s="56"/>
      <c r="F285" s="57"/>
    </row>
    <row r="286" spans="1:6" ht="12.75">
      <c r="A286" s="59" t="s">
        <v>80</v>
      </c>
      <c r="B286" s="60"/>
      <c r="C286" s="60"/>
      <c r="D286" s="60"/>
      <c r="E286" s="60"/>
      <c r="F286" s="61"/>
    </row>
    <row r="287" spans="1:6" ht="12.75">
      <c r="A287" s="62"/>
      <c r="B287" s="63" t="s">
        <v>81</v>
      </c>
      <c r="C287" s="63" t="s">
        <v>82</v>
      </c>
      <c r="D287" s="63" t="s">
        <v>83</v>
      </c>
      <c r="E287" s="63" t="s">
        <v>84</v>
      </c>
      <c r="F287" s="64" t="s">
        <v>173</v>
      </c>
    </row>
    <row r="288" spans="1:6" ht="12.75">
      <c r="A288" s="62"/>
      <c r="B288" s="65">
        <v>10000</v>
      </c>
      <c r="C288" s="65">
        <v>20000</v>
      </c>
      <c r="D288" s="65">
        <v>50000</v>
      </c>
      <c r="E288" s="65">
        <v>50000</v>
      </c>
      <c r="F288" s="66" t="s">
        <v>86</v>
      </c>
    </row>
    <row r="289" spans="1:6" ht="12.75">
      <c r="A289" s="62"/>
      <c r="B289" s="65"/>
      <c r="C289" s="65"/>
      <c r="D289" s="65"/>
      <c r="E289" s="65"/>
      <c r="F289" s="100">
        <v>56.23</v>
      </c>
    </row>
    <row r="290" spans="1:6" ht="12.75">
      <c r="A290" s="62" t="s">
        <v>87</v>
      </c>
      <c r="B290" s="67">
        <v>13.06</v>
      </c>
      <c r="C290" s="67">
        <v>107.57</v>
      </c>
      <c r="D290" s="67">
        <v>122.35</v>
      </c>
      <c r="E290" s="67">
        <v>134.5</v>
      </c>
      <c r="F290" s="61"/>
    </row>
    <row r="291" spans="1:6" ht="12.75">
      <c r="A291" s="62" t="s">
        <v>88</v>
      </c>
      <c r="B291" s="67">
        <v>10.17</v>
      </c>
      <c r="C291" s="67">
        <v>88.02</v>
      </c>
      <c r="D291" s="67">
        <v>93.4</v>
      </c>
      <c r="E291" s="67">
        <v>101.16</v>
      </c>
      <c r="F291" s="68"/>
    </row>
    <row r="292" spans="1:6" ht="12.75">
      <c r="A292" s="62" t="s">
        <v>89</v>
      </c>
      <c r="B292" s="67">
        <v>6.44</v>
      </c>
      <c r="C292" s="67">
        <v>106.48</v>
      </c>
      <c r="D292" s="67">
        <v>115.52</v>
      </c>
      <c r="E292" s="67">
        <v>136.09</v>
      </c>
      <c r="F292" s="69"/>
    </row>
    <row r="293" spans="1:6" ht="12.75">
      <c r="A293" s="62" t="s">
        <v>90</v>
      </c>
      <c r="B293" s="67">
        <v>5.05</v>
      </c>
      <c r="C293" s="67">
        <v>102.58</v>
      </c>
      <c r="D293" s="67">
        <v>110.86</v>
      </c>
      <c r="E293" s="67">
        <v>121.51</v>
      </c>
      <c r="F293" s="69"/>
    </row>
    <row r="294" spans="1:6" ht="12.75">
      <c r="A294" s="62" t="s">
        <v>91</v>
      </c>
      <c r="B294" s="67">
        <v>4.13</v>
      </c>
      <c r="C294" s="67">
        <v>100.64</v>
      </c>
      <c r="D294" s="67">
        <v>108.09</v>
      </c>
      <c r="E294" s="67">
        <v>118.8</v>
      </c>
      <c r="F294" s="68"/>
    </row>
    <row r="295" spans="1:6" ht="12.75">
      <c r="A295" s="62" t="s">
        <v>92</v>
      </c>
      <c r="B295" s="67">
        <v>8.84</v>
      </c>
      <c r="C295" s="67">
        <v>97.3</v>
      </c>
      <c r="D295" s="67">
        <v>104.56</v>
      </c>
      <c r="E295" s="67">
        <v>114.12</v>
      </c>
      <c r="F295" s="68"/>
    </row>
    <row r="296" spans="1:6" ht="12.75">
      <c r="A296" s="62" t="s">
        <v>6</v>
      </c>
      <c r="B296" s="67">
        <v>4.71</v>
      </c>
      <c r="C296" s="67">
        <v>113.65</v>
      </c>
      <c r="D296" s="67">
        <v>121.08</v>
      </c>
      <c r="E296" s="67">
        <v>136.99</v>
      </c>
      <c r="F296" s="68"/>
    </row>
    <row r="297" spans="1:6" ht="12.75">
      <c r="A297" s="72" t="s">
        <v>93</v>
      </c>
      <c r="B297" s="73">
        <v>4.99</v>
      </c>
      <c r="C297" s="73">
        <v>97.12</v>
      </c>
      <c r="D297" s="73">
        <v>104.35</v>
      </c>
      <c r="E297" s="73">
        <v>116.5</v>
      </c>
      <c r="F297" s="75"/>
    </row>
    <row r="299" spans="1:6" ht="12.75">
      <c r="A299" s="55" t="s">
        <v>196</v>
      </c>
      <c r="B299" s="56"/>
      <c r="C299" s="56"/>
      <c r="D299" s="56"/>
      <c r="E299" s="56"/>
      <c r="F299" s="57"/>
    </row>
    <row r="300" spans="1:6" ht="12.75">
      <c r="A300" s="59" t="s">
        <v>80</v>
      </c>
      <c r="B300" s="60"/>
      <c r="C300" s="60"/>
      <c r="D300" s="60"/>
      <c r="E300" s="60"/>
      <c r="F300" s="61"/>
    </row>
    <row r="301" spans="1:6" ht="12.75">
      <c r="A301" s="62"/>
      <c r="B301" s="63" t="s">
        <v>81</v>
      </c>
      <c r="C301" s="63" t="s">
        <v>82</v>
      </c>
      <c r="D301" s="63" t="s">
        <v>83</v>
      </c>
      <c r="E301" s="63" t="s">
        <v>84</v>
      </c>
      <c r="F301" s="64" t="s">
        <v>173</v>
      </c>
    </row>
    <row r="302" spans="1:6" ht="12.75">
      <c r="A302" s="62"/>
      <c r="B302" s="65">
        <v>10000</v>
      </c>
      <c r="C302" s="65">
        <v>20000</v>
      </c>
      <c r="D302" s="65">
        <v>50000</v>
      </c>
      <c r="E302" s="65">
        <v>50000</v>
      </c>
      <c r="F302" s="66" t="s">
        <v>86</v>
      </c>
    </row>
    <row r="303" spans="1:6" ht="12.75">
      <c r="A303" s="62"/>
      <c r="B303" s="65"/>
      <c r="C303" s="65"/>
      <c r="D303" s="65"/>
      <c r="E303" s="65"/>
      <c r="F303" s="100">
        <v>58.42</v>
      </c>
    </row>
    <row r="304" spans="1:6" ht="12.75">
      <c r="A304" s="62" t="s">
        <v>87</v>
      </c>
      <c r="B304" s="67">
        <v>13.57</v>
      </c>
      <c r="C304" s="67">
        <v>111.76</v>
      </c>
      <c r="D304" s="67">
        <v>127.11</v>
      </c>
      <c r="E304" s="67">
        <v>139.74</v>
      </c>
      <c r="F304" s="61"/>
    </row>
    <row r="305" spans="1:6" ht="12.75">
      <c r="A305" s="62" t="s">
        <v>88</v>
      </c>
      <c r="B305" s="67">
        <v>10.57</v>
      </c>
      <c r="C305" s="67">
        <v>91.45</v>
      </c>
      <c r="D305" s="67">
        <v>97.04</v>
      </c>
      <c r="E305" s="67">
        <v>105.1</v>
      </c>
      <c r="F305" s="68"/>
    </row>
    <row r="306" spans="1:6" ht="12.75">
      <c r="A306" s="62" t="s">
        <v>89</v>
      </c>
      <c r="B306" s="67">
        <v>6.69</v>
      </c>
      <c r="C306" s="67">
        <v>110.63</v>
      </c>
      <c r="D306" s="67">
        <v>120.02</v>
      </c>
      <c r="E306" s="67">
        <v>141.39</v>
      </c>
      <c r="F306" s="69"/>
    </row>
    <row r="307" spans="1:6" ht="12.75">
      <c r="A307" s="62" t="s">
        <v>90</v>
      </c>
      <c r="B307" s="67">
        <v>5.25</v>
      </c>
      <c r="C307" s="67">
        <v>106.58</v>
      </c>
      <c r="D307" s="67">
        <v>115.18</v>
      </c>
      <c r="E307" s="67">
        <v>126.24</v>
      </c>
      <c r="F307" s="69"/>
    </row>
    <row r="308" spans="1:6" ht="12.75">
      <c r="A308" s="62" t="s">
        <v>91</v>
      </c>
      <c r="B308" s="67">
        <v>4.29</v>
      </c>
      <c r="C308" s="67">
        <v>104.56</v>
      </c>
      <c r="D308" s="67">
        <v>112.3</v>
      </c>
      <c r="E308" s="67">
        <v>123.43</v>
      </c>
      <c r="F308" s="68"/>
    </row>
    <row r="309" spans="1:6" ht="12.75">
      <c r="A309" s="62" t="s">
        <v>92</v>
      </c>
      <c r="B309" s="67">
        <v>9.18</v>
      </c>
      <c r="C309" s="67">
        <v>101.09</v>
      </c>
      <c r="D309" s="67">
        <v>108.63</v>
      </c>
      <c r="E309" s="67">
        <v>118.56</v>
      </c>
      <c r="F309" s="68"/>
    </row>
    <row r="310" spans="1:6" ht="12.75">
      <c r="A310" s="62" t="s">
        <v>6</v>
      </c>
      <c r="B310" s="67">
        <v>4.89</v>
      </c>
      <c r="C310" s="67">
        <v>118.08</v>
      </c>
      <c r="D310" s="67">
        <v>125.8</v>
      </c>
      <c r="E310" s="67">
        <v>142.33</v>
      </c>
      <c r="F310" s="68"/>
    </row>
    <row r="311" spans="1:6" ht="12.75">
      <c r="A311" s="72" t="s">
        <v>93</v>
      </c>
      <c r="B311" s="73">
        <v>5.18</v>
      </c>
      <c r="C311" s="73">
        <v>100.9</v>
      </c>
      <c r="D311" s="73">
        <v>108.41</v>
      </c>
      <c r="E311" s="73">
        <v>121.04</v>
      </c>
      <c r="F311" s="7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11" width="8.57421875" style="0" customWidth="1"/>
  </cols>
  <sheetData>
    <row r="1" ht="15.75">
      <c r="A1" s="1" t="s">
        <v>47</v>
      </c>
    </row>
    <row r="2" ht="12.75">
      <c r="A2" s="2"/>
    </row>
    <row r="5" spans="1:11" ht="12.75">
      <c r="A5" s="3" t="s">
        <v>48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5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</row>
    <row r="8" spans="1:11" ht="12.75">
      <c r="A8" s="5" t="s">
        <v>49</v>
      </c>
      <c r="B8" s="7">
        <v>153.35041388872423</v>
      </c>
      <c r="C8" s="7">
        <v>380.9657785016188</v>
      </c>
      <c r="D8" s="7">
        <v>966.4728747660133</v>
      </c>
      <c r="E8" s="7">
        <v>938.913939252257</v>
      </c>
      <c r="F8" s="7">
        <v>404.44739408778474</v>
      </c>
      <c r="G8" s="7">
        <v>753.8831458898815</v>
      </c>
      <c r="H8" s="7">
        <v>507.92454048188154</v>
      </c>
      <c r="I8" s="7">
        <v>272.2267701412418</v>
      </c>
      <c r="J8" s="7">
        <v>1522.0969045357563</v>
      </c>
      <c r="K8" s="8">
        <v>5900.2817615451595</v>
      </c>
    </row>
    <row r="9" spans="1:11" ht="12.75">
      <c r="A9" s="5" t="s">
        <v>10</v>
      </c>
      <c r="B9" s="7">
        <v>10.19245350425606</v>
      </c>
      <c r="C9" s="7">
        <v>25.16079721330052</v>
      </c>
      <c r="D9" s="7">
        <v>62.30734471731705</v>
      </c>
      <c r="E9" s="7">
        <v>63.692016034333896</v>
      </c>
      <c r="F9" s="7">
        <v>24.46104667288875</v>
      </c>
      <c r="G9" s="7">
        <v>51.147761705542926</v>
      </c>
      <c r="H9" s="7">
        <v>31.88823994521186</v>
      </c>
      <c r="I9" s="7">
        <v>16.09035300173078</v>
      </c>
      <c r="J9" s="7">
        <v>88.65390543139826</v>
      </c>
      <c r="K9" s="8">
        <v>373.5939182259801</v>
      </c>
    </row>
    <row r="10" spans="1:11" ht="12.75">
      <c r="A10" s="9" t="s">
        <v>11</v>
      </c>
      <c r="B10" s="10">
        <v>163.5428673929803</v>
      </c>
      <c r="C10" s="10">
        <v>406.1265757149193</v>
      </c>
      <c r="D10" s="10">
        <v>1028.7802194833303</v>
      </c>
      <c r="E10" s="10">
        <v>1002.6059552865909</v>
      </c>
      <c r="F10" s="10">
        <v>428.9084407606735</v>
      </c>
      <c r="G10" s="10">
        <v>805.0309075954244</v>
      </c>
      <c r="H10" s="10">
        <v>539.8127804270933</v>
      </c>
      <c r="I10" s="10">
        <v>288.31712314297255</v>
      </c>
      <c r="J10" s="10">
        <v>1610.7508099671545</v>
      </c>
      <c r="K10" s="10">
        <v>6273.875679771139</v>
      </c>
    </row>
    <row r="11" spans="1:12" ht="12.75">
      <c r="A11" s="9" t="s">
        <v>12</v>
      </c>
      <c r="B11" s="7">
        <v>0</v>
      </c>
      <c r="C11" s="7">
        <v>1.538496</v>
      </c>
      <c r="D11" s="7">
        <v>2.1478960000000002</v>
      </c>
      <c r="E11" s="7">
        <v>1.663903</v>
      </c>
      <c r="F11" s="7">
        <v>1.355547</v>
      </c>
      <c r="G11" s="7">
        <v>1.617296</v>
      </c>
      <c r="H11" s="7">
        <v>3.327487</v>
      </c>
      <c r="I11" s="7">
        <v>2.661105</v>
      </c>
      <c r="J11" s="7">
        <v>4.111535</v>
      </c>
      <c r="K11" s="8">
        <v>18.423265</v>
      </c>
      <c r="L11" s="11"/>
    </row>
    <row r="12" spans="1:12" ht="12.75">
      <c r="A12" s="3" t="s">
        <v>11</v>
      </c>
      <c r="B12" s="10">
        <f>B10+B11</f>
        <v>163.5428673929803</v>
      </c>
      <c r="C12" s="10">
        <f aca="true" t="shared" si="0" ref="C12:K12">C10+C11</f>
        <v>407.6650717149193</v>
      </c>
      <c r="D12" s="10">
        <f t="shared" si="0"/>
        <v>1030.9281154833302</v>
      </c>
      <c r="E12" s="10">
        <f t="shared" si="0"/>
        <v>1004.2698582865909</v>
      </c>
      <c r="F12" s="10">
        <f t="shared" si="0"/>
        <v>430.2639877606735</v>
      </c>
      <c r="G12" s="10">
        <f t="shared" si="0"/>
        <v>806.6482035954244</v>
      </c>
      <c r="H12" s="10">
        <f t="shared" si="0"/>
        <v>543.1402674270934</v>
      </c>
      <c r="I12" s="10">
        <f t="shared" si="0"/>
        <v>290.97822814297257</v>
      </c>
      <c r="J12" s="10">
        <f t="shared" si="0"/>
        <v>1614.8623449671545</v>
      </c>
      <c r="K12" s="10">
        <f t="shared" si="0"/>
        <v>6292.29894477114</v>
      </c>
      <c r="L12" s="12"/>
    </row>
    <row r="13" spans="1:11" ht="12.75">
      <c r="A13" s="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2.75">
      <c r="A14" s="3" t="s">
        <v>50</v>
      </c>
      <c r="B14" s="12"/>
      <c r="C14" s="12"/>
      <c r="D14" s="12"/>
      <c r="E14" s="12"/>
      <c r="F14" s="12"/>
      <c r="G14" s="12"/>
      <c r="H14" s="12"/>
      <c r="I14" s="12"/>
      <c r="J14" s="12"/>
      <c r="K14" s="13"/>
    </row>
    <row r="15" spans="1:11" ht="12.75">
      <c r="A15" s="3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ht="12.75">
      <c r="A16" s="5"/>
      <c r="B16" s="14" t="s">
        <v>0</v>
      </c>
      <c r="C16" s="14" t="s">
        <v>1</v>
      </c>
      <c r="D16" s="14" t="s">
        <v>2</v>
      </c>
      <c r="E16" s="14" t="s">
        <v>3</v>
      </c>
      <c r="F16" s="14" t="s">
        <v>4</v>
      </c>
      <c r="G16" s="14" t="s">
        <v>5</v>
      </c>
      <c r="H16" s="14" t="s">
        <v>6</v>
      </c>
      <c r="I16" s="14" t="s">
        <v>7</v>
      </c>
      <c r="J16" s="14" t="s">
        <v>8</v>
      </c>
      <c r="K16" s="14" t="s">
        <v>9</v>
      </c>
    </row>
    <row r="17" spans="1:11" ht="12.75">
      <c r="A17" s="5" t="s">
        <v>49</v>
      </c>
      <c r="B17" s="7">
        <v>207.86312798458664</v>
      </c>
      <c r="C17" s="7">
        <v>442.2530972007768</v>
      </c>
      <c r="D17" s="7">
        <v>1209.706307985622</v>
      </c>
      <c r="E17" s="7">
        <v>1094.7209779007746</v>
      </c>
      <c r="F17" s="7">
        <v>432.3883094626464</v>
      </c>
      <c r="G17" s="7">
        <v>926.4085772235823</v>
      </c>
      <c r="H17" s="7">
        <v>565.4308348612375</v>
      </c>
      <c r="I17" s="7">
        <v>303.90659391835385</v>
      </c>
      <c r="J17" s="7">
        <v>1329.4790240222717</v>
      </c>
      <c r="K17" s="8">
        <v>6512.156850559853</v>
      </c>
    </row>
    <row r="18" spans="1:11" ht="12.75">
      <c r="A18" s="5" t="s">
        <v>10</v>
      </c>
      <c r="B18" s="7">
        <v>18.598395542278794</v>
      </c>
      <c r="C18" s="7">
        <v>38.70992589406263</v>
      </c>
      <c r="D18" s="7">
        <v>104.6489270923178</v>
      </c>
      <c r="E18" s="7">
        <v>96.97582991490225</v>
      </c>
      <c r="F18" s="7">
        <v>36.7894074477882</v>
      </c>
      <c r="G18" s="7">
        <v>80.04675392741552</v>
      </c>
      <c r="H18" s="7">
        <v>46.7242748344301</v>
      </c>
      <c r="I18" s="7">
        <v>25.99449984791547</v>
      </c>
      <c r="J18" s="7">
        <v>131.4706053835023</v>
      </c>
      <c r="K18" s="8">
        <v>579.9586198846131</v>
      </c>
    </row>
    <row r="19" spans="1:11" ht="12.75">
      <c r="A19" s="9" t="s">
        <v>11</v>
      </c>
      <c r="B19" s="10">
        <v>226.46152352686545</v>
      </c>
      <c r="C19" s="10">
        <v>480.9630230948394</v>
      </c>
      <c r="D19" s="10">
        <v>1314.3552350779398</v>
      </c>
      <c r="E19" s="10">
        <v>1191.696807815677</v>
      </c>
      <c r="F19" s="10">
        <v>469.17771691043464</v>
      </c>
      <c r="G19" s="10">
        <v>1006.4553311509978</v>
      </c>
      <c r="H19" s="10">
        <v>612.1551096956675</v>
      </c>
      <c r="I19" s="10">
        <v>329.9010937662693</v>
      </c>
      <c r="J19" s="10">
        <v>1460.949629405774</v>
      </c>
      <c r="K19" s="10">
        <v>7092.115470444466</v>
      </c>
    </row>
    <row r="20" spans="1:12" ht="12.75">
      <c r="A20" s="9" t="s">
        <v>12</v>
      </c>
      <c r="B20" s="7">
        <v>0</v>
      </c>
      <c r="C20" s="7">
        <v>1.320996</v>
      </c>
      <c r="D20" s="7">
        <v>1.930396</v>
      </c>
      <c r="E20" s="7">
        <v>1.446403</v>
      </c>
      <c r="F20" s="7">
        <v>1.0178099999999999</v>
      </c>
      <c r="G20" s="7">
        <v>1.399796</v>
      </c>
      <c r="H20" s="7">
        <v>2.674985</v>
      </c>
      <c r="I20" s="7">
        <v>2.226107</v>
      </c>
      <c r="J20" s="7">
        <v>3.8940349999999997</v>
      </c>
      <c r="K20" s="8">
        <v>15.910528000000001</v>
      </c>
      <c r="L20" s="11"/>
    </row>
    <row r="21" spans="1:12" ht="12.75">
      <c r="A21" s="3" t="s">
        <v>11</v>
      </c>
      <c r="B21" s="10">
        <f>B19+B20</f>
        <v>226.46152352686545</v>
      </c>
      <c r="C21" s="10">
        <f aca="true" t="shared" si="1" ref="C21:K21">C19+C20</f>
        <v>482.2840190948394</v>
      </c>
      <c r="D21" s="10">
        <f t="shared" si="1"/>
        <v>1316.2856310779398</v>
      </c>
      <c r="E21" s="10">
        <f t="shared" si="1"/>
        <v>1193.1432108156769</v>
      </c>
      <c r="F21" s="10">
        <f t="shared" si="1"/>
        <v>470.19552691043464</v>
      </c>
      <c r="G21" s="10">
        <f t="shared" si="1"/>
        <v>1007.8551271509979</v>
      </c>
      <c r="H21" s="10">
        <f t="shared" si="1"/>
        <v>614.8300946956675</v>
      </c>
      <c r="I21" s="10">
        <f t="shared" si="1"/>
        <v>332.1272007662693</v>
      </c>
      <c r="J21" s="10">
        <f t="shared" si="1"/>
        <v>1464.843664405774</v>
      </c>
      <c r="K21" s="10">
        <f t="shared" si="1"/>
        <v>7108.0259984444665</v>
      </c>
      <c r="L21" s="19"/>
    </row>
    <row r="22" spans="1:11" ht="12.75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2.75">
      <c r="A23" s="15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14" t="s">
        <v>0</v>
      </c>
      <c r="C25" s="14" t="s">
        <v>1</v>
      </c>
      <c r="D25" s="14" t="s">
        <v>2</v>
      </c>
      <c r="E25" s="14" t="s">
        <v>3</v>
      </c>
      <c r="F25" s="14" t="s">
        <v>4</v>
      </c>
      <c r="G25" s="14" t="s">
        <v>5</v>
      </c>
      <c r="H25" s="14" t="s">
        <v>6</v>
      </c>
      <c r="I25" s="14" t="s">
        <v>7</v>
      </c>
      <c r="J25" s="14" t="s">
        <v>8</v>
      </c>
      <c r="K25" s="14" t="s">
        <v>9</v>
      </c>
    </row>
    <row r="26" spans="1:11" ht="12.75">
      <c r="A26" s="4" t="s">
        <v>14</v>
      </c>
      <c r="B26" s="16">
        <v>26.271</v>
      </c>
      <c r="C26" s="16">
        <v>52.953</v>
      </c>
      <c r="D26" s="16">
        <v>146.322</v>
      </c>
      <c r="E26" s="16">
        <v>130.331</v>
      </c>
      <c r="F26" s="16">
        <v>48.779</v>
      </c>
      <c r="G26" s="16">
        <v>112.013</v>
      </c>
      <c r="H26" s="16">
        <v>63.751</v>
      </c>
      <c r="I26" s="16">
        <v>33.237</v>
      </c>
      <c r="J26" s="16">
        <v>146.732</v>
      </c>
      <c r="K26" s="10">
        <v>760.389</v>
      </c>
    </row>
    <row r="27" spans="1:11" ht="12.75">
      <c r="A27" s="4"/>
      <c r="B27" s="19"/>
      <c r="C27" s="19"/>
      <c r="D27" s="19"/>
      <c r="E27" s="19"/>
      <c r="F27" s="19"/>
      <c r="G27" s="19"/>
      <c r="H27" s="19"/>
      <c r="I27" s="19"/>
      <c r="J27" s="19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15" t="s">
        <v>15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15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5" t="s">
        <v>14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5"/>
      <c r="B34" s="6" t="s">
        <v>0</v>
      </c>
      <c r="C34" s="6" t="s">
        <v>1</v>
      </c>
      <c r="D34" s="6" t="s">
        <v>2</v>
      </c>
      <c r="E34" s="6" t="s">
        <v>3</v>
      </c>
      <c r="F34" s="6" t="s">
        <v>4</v>
      </c>
      <c r="G34" s="6" t="s">
        <v>5</v>
      </c>
      <c r="H34" s="6" t="s">
        <v>6</v>
      </c>
      <c r="I34" s="6" t="s">
        <v>7</v>
      </c>
      <c r="J34" s="6" t="s">
        <v>8</v>
      </c>
      <c r="K34" s="6" t="s">
        <v>9</v>
      </c>
    </row>
    <row r="35" spans="1:11" ht="12.75">
      <c r="A35" s="5" t="s">
        <v>49</v>
      </c>
      <c r="B35" s="16">
        <v>6.866132703559621</v>
      </c>
      <c r="C35" s="16">
        <v>23.287290798180656</v>
      </c>
      <c r="D35" s="16">
        <v>41.62164674792529</v>
      </c>
      <c r="E35" s="16">
        <v>39.98254600671624</v>
      </c>
      <c r="F35" s="16">
        <v>25.836393957586026</v>
      </c>
      <c r="G35" s="16">
        <v>35.86834832685877</v>
      </c>
      <c r="H35" s="16">
        <v>39.77697317128033</v>
      </c>
      <c r="I35" s="16">
        <v>13.186812150429278</v>
      </c>
      <c r="J35" s="16">
        <v>47.67097005201954</v>
      </c>
      <c r="K35" s="10">
        <v>274.09711391455573</v>
      </c>
    </row>
    <row r="36" spans="1:11" ht="12.75">
      <c r="A36" s="5" t="s">
        <v>10</v>
      </c>
      <c r="B36" s="16">
        <v>0.9860315618990291</v>
      </c>
      <c r="C36" s="16">
        <v>3.3442411776024517</v>
      </c>
      <c r="D36" s="16">
        <v>5.977201304365961</v>
      </c>
      <c r="E36" s="16">
        <v>5.741813330707042</v>
      </c>
      <c r="F36" s="16">
        <v>3.7103127754332297</v>
      </c>
      <c r="G36" s="16">
        <v>5.1509816443156415</v>
      </c>
      <c r="H36" s="16">
        <v>5.712291427656167</v>
      </c>
      <c r="I36" s="16">
        <v>1.8937316743697492</v>
      </c>
      <c r="J36" s="16">
        <v>6.84593250480953</v>
      </c>
      <c r="K36" s="10">
        <v>39.362537401158804</v>
      </c>
    </row>
    <row r="37" spans="1:11" ht="12.75">
      <c r="A37" s="17" t="s">
        <v>11</v>
      </c>
      <c r="B37" s="10">
        <v>7.85216426545865</v>
      </c>
      <c r="C37" s="10">
        <v>26.63153197578311</v>
      </c>
      <c r="D37" s="10">
        <v>47.59884805229125</v>
      </c>
      <c r="E37" s="10">
        <v>45.72435933742328</v>
      </c>
      <c r="F37" s="10">
        <v>29.546706733019256</v>
      </c>
      <c r="G37" s="10">
        <v>41.019329971174415</v>
      </c>
      <c r="H37" s="10">
        <v>45.4892645989365</v>
      </c>
      <c r="I37" s="10">
        <v>15.080543824799026</v>
      </c>
      <c r="J37" s="10">
        <v>54.51690255682907</v>
      </c>
      <c r="K37" s="10">
        <v>313.45965131571455</v>
      </c>
    </row>
    <row r="38" spans="1:11" ht="12.75">
      <c r="A38" s="4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>
      <c r="A39" s="15" t="s">
        <v>17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5" t="s">
        <v>14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5"/>
      <c r="B41" s="14" t="s">
        <v>0</v>
      </c>
      <c r="C41" s="14" t="s">
        <v>1</v>
      </c>
      <c r="D41" s="14" t="s">
        <v>2</v>
      </c>
      <c r="E41" s="14" t="s">
        <v>3</v>
      </c>
      <c r="F41" s="14" t="s">
        <v>4</v>
      </c>
      <c r="G41" s="14" t="s">
        <v>5</v>
      </c>
      <c r="H41" s="14" t="s">
        <v>6</v>
      </c>
      <c r="I41" s="14" t="s">
        <v>7</v>
      </c>
      <c r="J41" s="14" t="s">
        <v>8</v>
      </c>
      <c r="K41" s="14" t="s">
        <v>9</v>
      </c>
    </row>
    <row r="42" spans="1:11" ht="12.75">
      <c r="A42" s="5" t="s">
        <v>49</v>
      </c>
      <c r="B42" s="16">
        <v>0.06801005264475027</v>
      </c>
      <c r="C42" s="16">
        <v>0.587307149533903</v>
      </c>
      <c r="D42" s="16">
        <v>8.340453151035433</v>
      </c>
      <c r="E42" s="16">
        <v>4.1774310302470345</v>
      </c>
      <c r="F42" s="16">
        <v>2.8454714398909506</v>
      </c>
      <c r="G42" s="16">
        <v>1.4293638182964463</v>
      </c>
      <c r="H42" s="16">
        <v>0.6207358194779327</v>
      </c>
      <c r="I42" s="16">
        <v>0.4593560335412371</v>
      </c>
      <c r="J42" s="16">
        <v>39.10750933986644</v>
      </c>
      <c r="K42" s="16">
        <v>57.63563783453412</v>
      </c>
    </row>
    <row r="43" spans="1:11" ht="12.75">
      <c r="A43" s="5" t="s">
        <v>10</v>
      </c>
      <c r="B43" s="16">
        <v>-0.0003579034867004546</v>
      </c>
      <c r="C43" s="16">
        <v>-0.003090708923286133</v>
      </c>
      <c r="D43" s="16">
        <v>-0.043891706407139276</v>
      </c>
      <c r="E43" s="16">
        <v>-0.021983766708515175</v>
      </c>
      <c r="F43" s="16">
        <v>-0.01497431791389967</v>
      </c>
      <c r="G43" s="16">
        <v>-0.007522039381501244</v>
      </c>
      <c r="H43" s="16">
        <v>-0.0032666275862403785</v>
      </c>
      <c r="I43" s="16">
        <v>-0.002417365075425927</v>
      </c>
      <c r="J43" s="16">
        <v>-0.20580360409393872</v>
      </c>
      <c r="K43" s="16">
        <v>-0.303308039576647</v>
      </c>
    </row>
    <row r="44" spans="1:11" ht="12.75">
      <c r="A44" s="17" t="s">
        <v>11</v>
      </c>
      <c r="B44" s="10">
        <v>0.06765214915804982</v>
      </c>
      <c r="C44" s="10">
        <v>0.5842164406106168</v>
      </c>
      <c r="D44" s="10">
        <v>8.296561444628294</v>
      </c>
      <c r="E44" s="10">
        <v>4.15544726353852</v>
      </c>
      <c r="F44" s="10">
        <v>2.830497121977051</v>
      </c>
      <c r="G44" s="10">
        <v>1.4218417789149451</v>
      </c>
      <c r="H44" s="10">
        <v>0.6174691918916922</v>
      </c>
      <c r="I44" s="10">
        <v>0.45693866846581116</v>
      </c>
      <c r="J44" s="10">
        <v>38.9017057357725</v>
      </c>
      <c r="K44" s="10">
        <v>57.33232979495748</v>
      </c>
    </row>
    <row r="45" spans="1:11" ht="12.75">
      <c r="A45" s="4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.75">
      <c r="A46" s="15" t="s">
        <v>18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2.75">
      <c r="A47" s="5" t="s">
        <v>14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.75">
      <c r="A48" s="5"/>
      <c r="B48" s="14" t="s">
        <v>0</v>
      </c>
      <c r="C48" s="14" t="s">
        <v>1</v>
      </c>
      <c r="D48" s="14" t="s">
        <v>2</v>
      </c>
      <c r="E48" s="14" t="s">
        <v>3</v>
      </c>
      <c r="F48" s="14" t="s">
        <v>4</v>
      </c>
      <c r="G48" s="14" t="s">
        <v>5</v>
      </c>
      <c r="H48" s="14" t="s">
        <v>6</v>
      </c>
      <c r="I48" s="14" t="s">
        <v>7</v>
      </c>
      <c r="J48" s="14" t="s">
        <v>8</v>
      </c>
      <c r="K48" s="14" t="s">
        <v>9</v>
      </c>
    </row>
    <row r="49" spans="1:11" ht="12.75">
      <c r="A49" s="5" t="s">
        <v>49</v>
      </c>
      <c r="B49" s="16">
        <v>0.49788415697137656</v>
      </c>
      <c r="C49" s="16">
        <v>1.0034203709579093</v>
      </c>
      <c r="D49" s="16">
        <v>2.7727567609602715</v>
      </c>
      <c r="E49" s="16">
        <v>2.4696036432948936</v>
      </c>
      <c r="F49" s="16">
        <v>0.9243580837902954</v>
      </c>
      <c r="G49" s="16">
        <v>2.1225274313655373</v>
      </c>
      <c r="H49" s="16">
        <v>1.2080850932807699</v>
      </c>
      <c r="I49" s="16">
        <v>0.6297700322869824</v>
      </c>
      <c r="J49" s="16">
        <v>2.780503885725499</v>
      </c>
      <c r="K49" s="16">
        <v>14.408909458633536</v>
      </c>
    </row>
    <row r="50" spans="1:11" ht="12.75">
      <c r="A50" s="5" t="s">
        <v>10</v>
      </c>
      <c r="B50" s="16">
        <v>-0.0011710041775635793</v>
      </c>
      <c r="C50" s="16">
        <v>-0.0023681104048322928</v>
      </c>
      <c r="D50" s="16">
        <v>-0.006371238850957779</v>
      </c>
      <c r="E50" s="16">
        <v>-0.005764584504937539</v>
      </c>
      <c r="F50" s="16">
        <v>-0.002085245976485645</v>
      </c>
      <c r="G50" s="16">
        <v>-0.005121500550956551</v>
      </c>
      <c r="H50" s="16">
        <v>-0.0027295619748797227</v>
      </c>
      <c r="I50" s="16">
        <v>-0.0014329411427397732</v>
      </c>
      <c r="J50" s="16">
        <v>-0.006656705702942378</v>
      </c>
      <c r="K50" s="16">
        <v>-0.03370089328629526</v>
      </c>
    </row>
    <row r="51" spans="1:11" ht="12.75">
      <c r="A51" s="17" t="s">
        <v>11</v>
      </c>
      <c r="B51" s="10">
        <v>0.49671315279381295</v>
      </c>
      <c r="C51" s="10">
        <v>1.001052260553077</v>
      </c>
      <c r="D51" s="10">
        <v>2.7663855221093137</v>
      </c>
      <c r="E51" s="10">
        <v>2.463839058789956</v>
      </c>
      <c r="F51" s="10">
        <v>0.9222728378138098</v>
      </c>
      <c r="G51" s="10">
        <v>2.1174059308145807</v>
      </c>
      <c r="H51" s="10">
        <v>1.2053555313058901</v>
      </c>
      <c r="I51" s="10">
        <v>0.6283370911442426</v>
      </c>
      <c r="J51" s="10">
        <v>2.773847180022557</v>
      </c>
      <c r="K51" s="10">
        <v>14.37520856534724</v>
      </c>
    </row>
  </sheetData>
  <sheetProtection/>
  <printOptions/>
  <pageMargins left="0.62" right="0.55" top="0.984251969" bottom="0.984251969" header="0.4921259845" footer="0.4921259845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11" width="8.57421875" style="0" customWidth="1"/>
  </cols>
  <sheetData>
    <row r="1" ht="15.75">
      <c r="A1" s="1" t="s">
        <v>51</v>
      </c>
    </row>
    <row r="2" ht="12.75">
      <c r="A2" s="2"/>
    </row>
    <row r="5" spans="1:11" ht="12.75">
      <c r="A5" s="3" t="s">
        <v>52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5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</row>
    <row r="8" spans="1:11" ht="12.75">
      <c r="A8" s="5" t="s">
        <v>53</v>
      </c>
      <c r="B8" s="7">
        <v>153.5514366691833</v>
      </c>
      <c r="C8" s="7">
        <v>379.14314777688304</v>
      </c>
      <c r="D8" s="7">
        <v>964.1656477521151</v>
      </c>
      <c r="E8" s="7">
        <v>927.0861276680179</v>
      </c>
      <c r="F8" s="7">
        <v>403.5059629309374</v>
      </c>
      <c r="G8" s="7">
        <v>751.2110176620897</v>
      </c>
      <c r="H8" s="7">
        <v>500.5895542950436</v>
      </c>
      <c r="I8" s="7">
        <v>274.5346013045967</v>
      </c>
      <c r="J8" s="7">
        <v>1518.0356233890736</v>
      </c>
      <c r="K8" s="8">
        <v>5871.82311944794</v>
      </c>
    </row>
    <row r="9" spans="1:11" ht="12.75">
      <c r="A9" s="5" t="s">
        <v>10</v>
      </c>
      <c r="B9" s="7">
        <v>6.744968784853904</v>
      </c>
      <c r="C9" s="7">
        <v>15.635850947118131</v>
      </c>
      <c r="D9" s="7">
        <v>40.12710037232935</v>
      </c>
      <c r="E9" s="7">
        <v>32.44304875792144</v>
      </c>
      <c r="F9" s="7">
        <v>15.84609161455225</v>
      </c>
      <c r="G9" s="7">
        <v>32.015389421219936</v>
      </c>
      <c r="H9" s="7">
        <v>20.08178942020674</v>
      </c>
      <c r="I9" s="7">
        <v>11.121279916498926</v>
      </c>
      <c r="J9" s="7">
        <v>54.295553657566195</v>
      </c>
      <c r="K9" s="8">
        <v>228.31107289226688</v>
      </c>
    </row>
    <row r="10" spans="1:11" ht="12.75">
      <c r="A10" s="9" t="s">
        <v>11</v>
      </c>
      <c r="B10" s="10">
        <v>160.2964054540372</v>
      </c>
      <c r="C10" s="10">
        <v>394.77899872400116</v>
      </c>
      <c r="D10" s="10">
        <v>1004.2927481244444</v>
      </c>
      <c r="E10" s="10">
        <v>959.5291764259393</v>
      </c>
      <c r="F10" s="10">
        <v>419.35205454548964</v>
      </c>
      <c r="G10" s="10">
        <v>783.2264070833096</v>
      </c>
      <c r="H10" s="10">
        <v>520.6713437152504</v>
      </c>
      <c r="I10" s="10">
        <v>285.6558812210956</v>
      </c>
      <c r="J10" s="10">
        <v>1572.3311770466398</v>
      </c>
      <c r="K10" s="10">
        <v>6100.134192340207</v>
      </c>
    </row>
    <row r="11" spans="1:12" ht="12.75">
      <c r="A11" s="9" t="s">
        <v>12</v>
      </c>
      <c r="B11" s="7">
        <v>0</v>
      </c>
      <c r="C11" s="7">
        <v>1.475822</v>
      </c>
      <c r="D11" s="7">
        <v>2.041689</v>
      </c>
      <c r="E11" s="7">
        <v>1.592278</v>
      </c>
      <c r="F11" s="7">
        <v>1.3111199999999998</v>
      </c>
      <c r="G11" s="7">
        <v>1.443111</v>
      </c>
      <c r="H11" s="7">
        <v>3.304595</v>
      </c>
      <c r="I11" s="7">
        <v>2.4977460000000002</v>
      </c>
      <c r="J11" s="7">
        <v>4.34227</v>
      </c>
      <c r="K11" s="8">
        <v>18.008631</v>
      </c>
      <c r="L11" s="11"/>
    </row>
    <row r="12" spans="1:12" ht="12.75">
      <c r="A12" s="3" t="s">
        <v>11</v>
      </c>
      <c r="B12" s="10">
        <f>B10+B11</f>
        <v>160.2964054540372</v>
      </c>
      <c r="C12" s="10">
        <f aca="true" t="shared" si="0" ref="C12:K12">C10+C11</f>
        <v>396.25482072400115</v>
      </c>
      <c r="D12" s="10">
        <f t="shared" si="0"/>
        <v>1006.3344371244444</v>
      </c>
      <c r="E12" s="10">
        <f t="shared" si="0"/>
        <v>961.1214544259393</v>
      </c>
      <c r="F12" s="10">
        <f t="shared" si="0"/>
        <v>420.66317454548965</v>
      </c>
      <c r="G12" s="10">
        <f t="shared" si="0"/>
        <v>784.6695180833096</v>
      </c>
      <c r="H12" s="10">
        <f t="shared" si="0"/>
        <v>523.9759387152503</v>
      </c>
      <c r="I12" s="10">
        <f t="shared" si="0"/>
        <v>288.15362722109563</v>
      </c>
      <c r="J12" s="10">
        <f t="shared" si="0"/>
        <v>1576.67344704664</v>
      </c>
      <c r="K12" s="10">
        <f t="shared" si="0"/>
        <v>6118.142823340207</v>
      </c>
      <c r="L12" s="12"/>
    </row>
    <row r="13" spans="1:11" ht="12.75">
      <c r="A13" s="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2.75">
      <c r="A14" s="3" t="s">
        <v>54</v>
      </c>
      <c r="B14" s="12"/>
      <c r="C14" s="12"/>
      <c r="D14" s="12"/>
      <c r="E14" s="12"/>
      <c r="F14" s="12"/>
      <c r="G14" s="12"/>
      <c r="H14" s="12"/>
      <c r="I14" s="12"/>
      <c r="J14" s="12"/>
      <c r="K14" s="13"/>
    </row>
    <row r="15" spans="1:11" ht="12.75">
      <c r="A15" s="3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ht="12.75">
      <c r="A16" s="5"/>
      <c r="B16" s="14" t="s">
        <v>0</v>
      </c>
      <c r="C16" s="14" t="s">
        <v>1</v>
      </c>
      <c r="D16" s="14" t="s">
        <v>2</v>
      </c>
      <c r="E16" s="14" t="s">
        <v>3</v>
      </c>
      <c r="F16" s="14" t="s">
        <v>4</v>
      </c>
      <c r="G16" s="14" t="s">
        <v>5</v>
      </c>
      <c r="H16" s="14" t="s">
        <v>6</v>
      </c>
      <c r="I16" s="14" t="s">
        <v>7</v>
      </c>
      <c r="J16" s="14" t="s">
        <v>8</v>
      </c>
      <c r="K16" s="14" t="s">
        <v>9</v>
      </c>
    </row>
    <row r="17" spans="1:11" ht="12.75">
      <c r="A17" s="5" t="s">
        <v>53</v>
      </c>
      <c r="B17" s="7">
        <v>208.54439999811916</v>
      </c>
      <c r="C17" s="7">
        <v>444.72906603195185</v>
      </c>
      <c r="D17" s="7">
        <v>1219.631851586904</v>
      </c>
      <c r="E17" s="7">
        <v>1100.6627703158854</v>
      </c>
      <c r="F17" s="7">
        <v>440.86581063339605</v>
      </c>
      <c r="G17" s="7">
        <v>934.8762573272644</v>
      </c>
      <c r="H17" s="7">
        <v>569.6251806692327</v>
      </c>
      <c r="I17" s="7">
        <v>306.7167048482799</v>
      </c>
      <c r="J17" s="7">
        <v>1338.446758912879</v>
      </c>
      <c r="K17" s="8">
        <v>6564.098800323912</v>
      </c>
    </row>
    <row r="18" spans="1:11" ht="12.75">
      <c r="A18" s="5" t="s">
        <v>10</v>
      </c>
      <c r="B18" s="7">
        <v>15.828664772399817</v>
      </c>
      <c r="C18" s="7">
        <v>33.50954281002073</v>
      </c>
      <c r="D18" s="7">
        <v>89.313757719127</v>
      </c>
      <c r="E18" s="7">
        <v>83.27369869073644</v>
      </c>
      <c r="F18" s="7">
        <v>31.89865336847253</v>
      </c>
      <c r="G18" s="7">
        <v>70.80201825689443</v>
      </c>
      <c r="H18" s="7">
        <v>41.1576022284663</v>
      </c>
      <c r="I18" s="7">
        <v>22.434217245927428</v>
      </c>
      <c r="J18" s="7">
        <v>92.97414411644475</v>
      </c>
      <c r="K18" s="8">
        <v>481.19229920848943</v>
      </c>
    </row>
    <row r="19" spans="1:11" ht="12.75">
      <c r="A19" s="9" t="s">
        <v>11</v>
      </c>
      <c r="B19" s="10">
        <v>224.37306477051897</v>
      </c>
      <c r="C19" s="10">
        <v>478.23860884197256</v>
      </c>
      <c r="D19" s="10">
        <v>1308.945609306031</v>
      </c>
      <c r="E19" s="10">
        <v>1183.9364690066218</v>
      </c>
      <c r="F19" s="10">
        <v>472.7644640018686</v>
      </c>
      <c r="G19" s="10">
        <v>1005.6782755841589</v>
      </c>
      <c r="H19" s="10">
        <v>610.782782897699</v>
      </c>
      <c r="I19" s="10">
        <v>329.1509220942073</v>
      </c>
      <c r="J19" s="10">
        <v>1431.4209030293237</v>
      </c>
      <c r="K19" s="10">
        <v>7045.291099532401</v>
      </c>
    </row>
    <row r="20" spans="1:12" ht="12.75">
      <c r="A20" s="9" t="s">
        <v>12</v>
      </c>
      <c r="B20" s="7">
        <v>0</v>
      </c>
      <c r="C20" s="7">
        <v>1.258322</v>
      </c>
      <c r="D20" s="7">
        <v>1.824189</v>
      </c>
      <c r="E20" s="7">
        <v>1.374778</v>
      </c>
      <c r="F20" s="7">
        <v>0.984977</v>
      </c>
      <c r="G20" s="7">
        <v>1.225611</v>
      </c>
      <c r="H20" s="7">
        <v>2.652093</v>
      </c>
      <c r="I20" s="7">
        <v>2.0627440000000004</v>
      </c>
      <c r="J20" s="7">
        <v>4.124770000000001</v>
      </c>
      <c r="K20" s="8">
        <v>15.507484</v>
      </c>
      <c r="L20" s="11"/>
    </row>
    <row r="21" spans="1:12" ht="12.75">
      <c r="A21" s="3" t="s">
        <v>11</v>
      </c>
      <c r="B21" s="10">
        <f>B19+B20</f>
        <v>224.37306477051897</v>
      </c>
      <c r="C21" s="10">
        <f aca="true" t="shared" si="1" ref="C21:K21">C19+C20</f>
        <v>479.4969308419726</v>
      </c>
      <c r="D21" s="10">
        <f t="shared" si="1"/>
        <v>1310.769798306031</v>
      </c>
      <c r="E21" s="10">
        <f t="shared" si="1"/>
        <v>1185.311247006622</v>
      </c>
      <c r="F21" s="10">
        <f t="shared" si="1"/>
        <v>473.7494410018686</v>
      </c>
      <c r="G21" s="10">
        <f t="shared" si="1"/>
        <v>1006.9038865841588</v>
      </c>
      <c r="H21" s="10">
        <f t="shared" si="1"/>
        <v>613.434875897699</v>
      </c>
      <c r="I21" s="10">
        <f t="shared" si="1"/>
        <v>331.2136660942073</v>
      </c>
      <c r="J21" s="10">
        <f t="shared" si="1"/>
        <v>1435.5456730293236</v>
      </c>
      <c r="K21" s="10">
        <f t="shared" si="1"/>
        <v>7060.798583532401</v>
      </c>
      <c r="L21" s="19"/>
    </row>
    <row r="22" spans="1:11" ht="12.75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2.75">
      <c r="A23" s="15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14" t="s">
        <v>0</v>
      </c>
      <c r="C25" s="14" t="s">
        <v>1</v>
      </c>
      <c r="D25" s="14" t="s">
        <v>2</v>
      </c>
      <c r="E25" s="14" t="s">
        <v>3</v>
      </c>
      <c r="F25" s="14" t="s">
        <v>4</v>
      </c>
      <c r="G25" s="14" t="s">
        <v>5</v>
      </c>
      <c r="H25" s="14" t="s">
        <v>6</v>
      </c>
      <c r="I25" s="14" t="s">
        <v>7</v>
      </c>
      <c r="J25" s="14" t="s">
        <v>8</v>
      </c>
      <c r="K25" s="14" t="s">
        <v>9</v>
      </c>
    </row>
    <row r="26" spans="1:11" ht="12.75">
      <c r="A26" s="4" t="s">
        <v>14</v>
      </c>
      <c r="B26" s="16">
        <v>24.148671</v>
      </c>
      <c r="C26" s="16">
        <v>48.674772</v>
      </c>
      <c r="D26" s="16">
        <v>134.49865499999999</v>
      </c>
      <c r="E26" s="16">
        <v>119.799769</v>
      </c>
      <c r="F26" s="16">
        <v>44.837545</v>
      </c>
      <c r="G26" s="16">
        <v>102.9621</v>
      </c>
      <c r="H26" s="16">
        <v>58.59983999999999</v>
      </c>
      <c r="I26" s="16">
        <v>30.551038000000002</v>
      </c>
      <c r="J26" s="16">
        <v>134.87608799999998</v>
      </c>
      <c r="K26" s="10">
        <v>698.9484779999999</v>
      </c>
    </row>
    <row r="27" spans="1:11" ht="12.75">
      <c r="A27" s="4"/>
      <c r="B27" s="19"/>
      <c r="C27" s="19"/>
      <c r="D27" s="19"/>
      <c r="E27" s="19"/>
      <c r="F27" s="19"/>
      <c r="G27" s="19"/>
      <c r="H27" s="19"/>
      <c r="I27" s="19"/>
      <c r="J27" s="19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15" t="s">
        <v>15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15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5" t="s">
        <v>14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5"/>
      <c r="B34" s="6" t="s">
        <v>0</v>
      </c>
      <c r="C34" s="6" t="s">
        <v>1</v>
      </c>
      <c r="D34" s="6" t="s">
        <v>2</v>
      </c>
      <c r="E34" s="6" t="s">
        <v>3</v>
      </c>
      <c r="F34" s="6" t="s">
        <v>4</v>
      </c>
      <c r="G34" s="6" t="s">
        <v>5</v>
      </c>
      <c r="H34" s="6" t="s">
        <v>6</v>
      </c>
      <c r="I34" s="6" t="s">
        <v>7</v>
      </c>
      <c r="J34" s="6" t="s">
        <v>8</v>
      </c>
      <c r="K34" s="6" t="s">
        <v>9</v>
      </c>
    </row>
    <row r="35" spans="1:11" ht="12.75">
      <c r="A35" s="5" t="s">
        <v>53</v>
      </c>
      <c r="B35" s="16">
        <v>7.070066087864756</v>
      </c>
      <c r="C35" s="16">
        <v>23.978954683632324</v>
      </c>
      <c r="D35" s="16">
        <v>42.8578656863179</v>
      </c>
      <c r="E35" s="16">
        <v>41.17008144658011</v>
      </c>
      <c r="F35" s="16">
        <v>26.603769638408462</v>
      </c>
      <c r="G35" s="16">
        <v>36.93368655720488</v>
      </c>
      <c r="H35" s="16">
        <v>40.95840282119495</v>
      </c>
      <c r="I35" s="16">
        <v>13.578478223040856</v>
      </c>
      <c r="J35" s="16">
        <v>49.08686203598556</v>
      </c>
      <c r="K35" s="10">
        <v>282.2381671802298</v>
      </c>
    </row>
    <row r="36" spans="1:11" ht="12.75">
      <c r="A36" s="5" t="s">
        <v>10</v>
      </c>
      <c r="B36" s="16">
        <v>0.9083147161535217</v>
      </c>
      <c r="C36" s="16">
        <v>3.080655420535055</v>
      </c>
      <c r="D36" s="16">
        <v>5.506091403110266</v>
      </c>
      <c r="E36" s="16">
        <v>5.289256193425717</v>
      </c>
      <c r="F36" s="16">
        <v>3.4178740576698985</v>
      </c>
      <c r="G36" s="16">
        <v>4.744992565103778</v>
      </c>
      <c r="H36" s="16">
        <v>5.262061142043873</v>
      </c>
      <c r="I36" s="16">
        <v>1.7444718959738874</v>
      </c>
      <c r="J36" s="16">
        <v>6.306351115106597</v>
      </c>
      <c r="K36" s="10">
        <v>36.26006850912259</v>
      </c>
    </row>
    <row r="37" spans="1:11" ht="12.75">
      <c r="A37" s="17" t="s">
        <v>11</v>
      </c>
      <c r="B37" s="10">
        <v>7.978380804018277</v>
      </c>
      <c r="C37" s="10">
        <v>27.05961010416738</v>
      </c>
      <c r="D37" s="10">
        <v>48.36395708942817</v>
      </c>
      <c r="E37" s="10">
        <v>46.45933764000583</v>
      </c>
      <c r="F37" s="10">
        <v>30.02164369607836</v>
      </c>
      <c r="G37" s="10">
        <v>41.67867912230866</v>
      </c>
      <c r="H37" s="10">
        <v>46.22046396323883</v>
      </c>
      <c r="I37" s="10">
        <v>15.322950119014743</v>
      </c>
      <c r="J37" s="10">
        <v>55.393213151092155</v>
      </c>
      <c r="K37" s="10">
        <v>318.49823568935244</v>
      </c>
    </row>
    <row r="38" spans="1:11" ht="12.75">
      <c r="A38" s="4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>
      <c r="A39" s="15" t="s">
        <v>17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5" t="s">
        <v>14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5"/>
      <c r="B41" s="14" t="s">
        <v>0</v>
      </c>
      <c r="C41" s="14" t="s">
        <v>1</v>
      </c>
      <c r="D41" s="14" t="s">
        <v>2</v>
      </c>
      <c r="E41" s="14" t="s">
        <v>3</v>
      </c>
      <c r="F41" s="14" t="s">
        <v>4</v>
      </c>
      <c r="G41" s="14" t="s">
        <v>5</v>
      </c>
      <c r="H41" s="14" t="s">
        <v>6</v>
      </c>
      <c r="I41" s="14" t="s">
        <v>7</v>
      </c>
      <c r="J41" s="14" t="s">
        <v>8</v>
      </c>
      <c r="K41" s="14" t="s">
        <v>9</v>
      </c>
    </row>
    <row r="42" spans="1:11" ht="12.75">
      <c r="A42" s="5" t="s">
        <v>53</v>
      </c>
      <c r="B42" s="16">
        <v>0.06158187858141216</v>
      </c>
      <c r="C42" s="16">
        <v>0.5317960531733811</v>
      </c>
      <c r="D42" s="16">
        <v>7.552130211454365</v>
      </c>
      <c r="E42" s="16">
        <v>3.7825886098141983</v>
      </c>
      <c r="F42" s="16">
        <v>2.576523174207049</v>
      </c>
      <c r="G42" s="16">
        <v>1.2942632108635777</v>
      </c>
      <c r="H42" s="16">
        <v>0.5620651121371262</v>
      </c>
      <c r="I42" s="16">
        <v>0.4159386205880126</v>
      </c>
      <c r="J42" s="16">
        <v>35.41114582529286</v>
      </c>
      <c r="K42" s="16">
        <v>52.18803269611198</v>
      </c>
    </row>
    <row r="43" spans="1:11" ht="12.75">
      <c r="A43" s="5" t="s">
        <v>10</v>
      </c>
      <c r="B43" s="16">
        <v>0.0005882388827806438</v>
      </c>
      <c r="C43" s="16">
        <v>0.005079791708080051</v>
      </c>
      <c r="D43" s="16">
        <v>0.07213902434507327</v>
      </c>
      <c r="E43" s="16">
        <v>0.03613182561350914</v>
      </c>
      <c r="F43" s="16">
        <v>0.024611316646508386</v>
      </c>
      <c r="G43" s="16">
        <v>0.012362986688949149</v>
      </c>
      <c r="H43" s="16">
        <v>0.0053689260741927</v>
      </c>
      <c r="I43" s="16">
        <v>0.00397310499640821</v>
      </c>
      <c r="J43" s="16">
        <v>0.33825231282470486</v>
      </c>
      <c r="K43" s="16">
        <v>0.4985075277802064</v>
      </c>
    </row>
    <row r="44" spans="1:11" ht="12.75">
      <c r="A44" s="17" t="s">
        <v>11</v>
      </c>
      <c r="B44" s="10">
        <v>0.062170117464192806</v>
      </c>
      <c r="C44" s="10">
        <v>0.5368758448814611</v>
      </c>
      <c r="D44" s="10">
        <v>7.624269235799439</v>
      </c>
      <c r="E44" s="10">
        <v>3.8187204354277076</v>
      </c>
      <c r="F44" s="10">
        <v>2.6011344908535574</v>
      </c>
      <c r="G44" s="10">
        <v>1.3066261975525268</v>
      </c>
      <c r="H44" s="10">
        <v>0.5674340382113189</v>
      </c>
      <c r="I44" s="10">
        <v>0.4199117255844208</v>
      </c>
      <c r="J44" s="10">
        <v>35.74939813811757</v>
      </c>
      <c r="K44" s="10">
        <v>52.686540223892194</v>
      </c>
    </row>
    <row r="45" spans="1:11" ht="12.75">
      <c r="A45" s="4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.75">
      <c r="A46" s="15" t="s">
        <v>18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2.75">
      <c r="A47" s="5" t="s">
        <v>14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.75">
      <c r="A48" s="5"/>
      <c r="B48" s="14" t="s">
        <v>0</v>
      </c>
      <c r="C48" s="14" t="s">
        <v>1</v>
      </c>
      <c r="D48" s="14" t="s">
        <v>2</v>
      </c>
      <c r="E48" s="14" t="s">
        <v>3</v>
      </c>
      <c r="F48" s="14" t="s">
        <v>4</v>
      </c>
      <c r="G48" s="14" t="s">
        <v>5</v>
      </c>
      <c r="H48" s="14" t="s">
        <v>6</v>
      </c>
      <c r="I48" s="14" t="s">
        <v>7</v>
      </c>
      <c r="J48" s="14" t="s">
        <v>8</v>
      </c>
      <c r="K48" s="14" t="s">
        <v>9</v>
      </c>
    </row>
    <row r="49" spans="1:11" ht="12.75">
      <c r="A49" s="5" t="s">
        <v>53</v>
      </c>
      <c r="B49" s="16">
        <v>0.7728431021146384</v>
      </c>
      <c r="C49" s="16">
        <v>1.557564146916036</v>
      </c>
      <c r="D49" s="16">
        <v>4.3040251563438865</v>
      </c>
      <c r="E49" s="16">
        <v>3.8334542562826814</v>
      </c>
      <c r="F49" s="16">
        <v>1.4348393274588669</v>
      </c>
      <c r="G49" s="16">
        <v>3.29470351970702</v>
      </c>
      <c r="H49" s="16">
        <v>1.875255956704882</v>
      </c>
      <c r="I49" s="16">
        <v>0.9775635929694559</v>
      </c>
      <c r="J49" s="16">
        <v>4.316050668407673</v>
      </c>
      <c r="K49" s="16">
        <v>22.366299726905144</v>
      </c>
    </row>
    <row r="50" spans="1:11" ht="12.75">
      <c r="A50" s="5" t="s">
        <v>10</v>
      </c>
      <c r="B50" s="16">
        <v>0.00430634603064999</v>
      </c>
      <c r="C50" s="16">
        <v>0.008678876945659454</v>
      </c>
      <c r="D50" s="16">
        <v>0.023982386071798374</v>
      </c>
      <c r="E50" s="16">
        <v>0.021360325886395002</v>
      </c>
      <c r="F50" s="16">
        <v>0.007995044046477915</v>
      </c>
      <c r="G50" s="16">
        <v>0.018358361982448515</v>
      </c>
      <c r="H50" s="16">
        <v>0.010449082127423707</v>
      </c>
      <c r="I50" s="16">
        <v>0.005447065629198846</v>
      </c>
      <c r="J50" s="16">
        <v>0.0240493932249974</v>
      </c>
      <c r="K50" s="16">
        <v>0.1246268819450492</v>
      </c>
    </row>
    <row r="51" spans="1:11" ht="12.75">
      <c r="A51" s="17" t="s">
        <v>11</v>
      </c>
      <c r="B51" s="10">
        <v>0.7771494481452883</v>
      </c>
      <c r="C51" s="10">
        <v>1.5662430238616953</v>
      </c>
      <c r="D51" s="10">
        <v>4.328007542415685</v>
      </c>
      <c r="E51" s="10">
        <v>3.8548145821690762</v>
      </c>
      <c r="F51" s="10">
        <v>1.4428343715053449</v>
      </c>
      <c r="G51" s="10">
        <v>3.3130618816894684</v>
      </c>
      <c r="H51" s="10">
        <v>1.8857050388323058</v>
      </c>
      <c r="I51" s="10">
        <v>0.9830106585986548</v>
      </c>
      <c r="J51" s="10">
        <v>4.34010006163267</v>
      </c>
      <c r="K51" s="10">
        <v>22.490926608850188</v>
      </c>
    </row>
  </sheetData>
  <sheetProtection/>
  <printOptions/>
  <pageMargins left="0.62" right="0.55" top="0.984251969" bottom="0.984251969" header="0.4921259845" footer="0.4921259845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11" width="8.57421875" style="0" customWidth="1"/>
  </cols>
  <sheetData>
    <row r="1" ht="15.75">
      <c r="A1" s="1" t="s">
        <v>55</v>
      </c>
    </row>
    <row r="2" ht="12.75">
      <c r="A2" s="20"/>
    </row>
    <row r="5" spans="1:11" ht="12.75">
      <c r="A5" s="3" t="s">
        <v>21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5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</row>
    <row r="8" spans="1:11" ht="12.75">
      <c r="A8" s="5" t="s">
        <v>19</v>
      </c>
      <c r="B8" s="7">
        <v>163.62303770121355</v>
      </c>
      <c r="C8" s="7">
        <v>398.54582939775423</v>
      </c>
      <c r="D8" s="7">
        <v>1016.468771400441</v>
      </c>
      <c r="E8" s="7">
        <v>973.0961569197802</v>
      </c>
      <c r="F8" s="7">
        <v>424.2612073595476</v>
      </c>
      <c r="G8" s="7">
        <v>787.3018423500257</v>
      </c>
      <c r="H8" s="7">
        <v>528.7868393489251</v>
      </c>
      <c r="I8" s="7">
        <v>286.836606297325</v>
      </c>
      <c r="J8" s="7">
        <v>1596.5447086271568</v>
      </c>
      <c r="K8" s="8">
        <v>6175.46499940217</v>
      </c>
    </row>
    <row r="9" spans="1:11" ht="12.75">
      <c r="A9" s="5" t="s">
        <v>10</v>
      </c>
      <c r="B9" s="7">
        <v>1.496381739194505</v>
      </c>
      <c r="C9" s="7">
        <v>4.030243948870571</v>
      </c>
      <c r="D9" s="7">
        <v>8.861459605317563</v>
      </c>
      <c r="E9" s="7">
        <v>8.322537550640874</v>
      </c>
      <c r="F9" s="7">
        <v>4.668619055759278</v>
      </c>
      <c r="G9" s="7">
        <v>7.121243768041372</v>
      </c>
      <c r="H9" s="7">
        <v>5.705391387322103</v>
      </c>
      <c r="I9" s="7">
        <v>3.104219050188083</v>
      </c>
      <c r="J9" s="7">
        <v>17.987876679928508</v>
      </c>
      <c r="K9" s="8">
        <v>61.29797278526286</v>
      </c>
    </row>
    <row r="10" spans="1:11" ht="12.75">
      <c r="A10" s="9" t="s">
        <v>11</v>
      </c>
      <c r="B10" s="10">
        <v>165.11941944040805</v>
      </c>
      <c r="C10" s="10">
        <v>402.5760733466248</v>
      </c>
      <c r="D10" s="10">
        <v>1025.3302310057586</v>
      </c>
      <c r="E10" s="10">
        <v>981.4186944704211</v>
      </c>
      <c r="F10" s="10">
        <v>428.9298264153069</v>
      </c>
      <c r="G10" s="10">
        <v>794.4230861180671</v>
      </c>
      <c r="H10" s="10">
        <v>534.4922307362473</v>
      </c>
      <c r="I10" s="10">
        <v>289.94082534751306</v>
      </c>
      <c r="J10" s="10">
        <v>1614.5325853070854</v>
      </c>
      <c r="K10" s="10">
        <v>6236.762972187433</v>
      </c>
    </row>
    <row r="11" spans="1:12" ht="12.75">
      <c r="A11" s="9" t="s">
        <v>12</v>
      </c>
      <c r="B11" s="7">
        <v>0</v>
      </c>
      <c r="C11" s="7">
        <v>1.343845</v>
      </c>
      <c r="D11" s="7">
        <v>1.848628</v>
      </c>
      <c r="E11" s="7">
        <v>1.417483</v>
      </c>
      <c r="F11" s="7">
        <v>1.2346300000000001</v>
      </c>
      <c r="G11" s="7">
        <v>1.3897709999999999</v>
      </c>
      <c r="H11" s="7">
        <v>3.291507</v>
      </c>
      <c r="I11" s="7">
        <v>2.245943</v>
      </c>
      <c r="J11" s="7">
        <v>3.893113</v>
      </c>
      <c r="K11" s="8">
        <v>16.664920000000002</v>
      </c>
      <c r="L11" s="11"/>
    </row>
    <row r="12" spans="1:12" ht="12.75">
      <c r="A12" s="3" t="s">
        <v>11</v>
      </c>
      <c r="B12" s="10">
        <f>B10+B11</f>
        <v>165.11941944040805</v>
      </c>
      <c r="C12" s="10">
        <f aca="true" t="shared" si="0" ref="C12:K12">C10+C11</f>
        <v>403.9199183466248</v>
      </c>
      <c r="D12" s="10">
        <f t="shared" si="0"/>
        <v>1027.1788590057586</v>
      </c>
      <c r="E12" s="10">
        <f t="shared" si="0"/>
        <v>982.836177470421</v>
      </c>
      <c r="F12" s="10">
        <f t="shared" si="0"/>
        <v>430.16445641530686</v>
      </c>
      <c r="G12" s="10">
        <f t="shared" si="0"/>
        <v>795.8128571180671</v>
      </c>
      <c r="H12" s="10">
        <f t="shared" si="0"/>
        <v>537.7837377362473</v>
      </c>
      <c r="I12" s="10">
        <f t="shared" si="0"/>
        <v>292.18676834751307</v>
      </c>
      <c r="J12" s="10">
        <f t="shared" si="0"/>
        <v>1618.4256983070854</v>
      </c>
      <c r="K12" s="10">
        <f t="shared" si="0"/>
        <v>6253.427892187433</v>
      </c>
      <c r="L12" s="12"/>
    </row>
    <row r="13" spans="1:11" ht="12.75">
      <c r="A13" s="5"/>
      <c r="B13" s="12"/>
      <c r="C13" s="12"/>
      <c r="D13" s="12"/>
      <c r="E13" s="12"/>
      <c r="F13" s="12"/>
      <c r="G13" s="12"/>
      <c r="H13" s="12"/>
      <c r="I13" s="12"/>
      <c r="J13" s="12"/>
      <c r="K13" s="22"/>
    </row>
    <row r="14" spans="1:11" ht="12.75">
      <c r="A14" s="3" t="s">
        <v>20</v>
      </c>
      <c r="B14" s="12"/>
      <c r="C14" s="12"/>
      <c r="D14" s="12"/>
      <c r="E14" s="12"/>
      <c r="F14" s="12"/>
      <c r="G14" s="12"/>
      <c r="H14" s="12"/>
      <c r="I14" s="12"/>
      <c r="J14" s="12"/>
      <c r="K14" s="22"/>
    </row>
    <row r="15" spans="1:11" ht="12.75">
      <c r="A15" s="3"/>
      <c r="B15" s="12"/>
      <c r="C15" s="12"/>
      <c r="D15" s="12"/>
      <c r="E15" s="12"/>
      <c r="F15" s="12"/>
      <c r="G15" s="12"/>
      <c r="H15" s="12"/>
      <c r="I15" s="12"/>
      <c r="J15" s="12"/>
      <c r="K15" s="22"/>
    </row>
    <row r="16" spans="1:11" ht="12.75">
      <c r="A16" s="5"/>
      <c r="B16" s="14" t="s">
        <v>0</v>
      </c>
      <c r="C16" s="14" t="s">
        <v>1</v>
      </c>
      <c r="D16" s="14" t="s">
        <v>2</v>
      </c>
      <c r="E16" s="14" t="s">
        <v>3</v>
      </c>
      <c r="F16" s="14" t="s">
        <v>4</v>
      </c>
      <c r="G16" s="14" t="s">
        <v>5</v>
      </c>
      <c r="H16" s="14" t="s">
        <v>6</v>
      </c>
      <c r="I16" s="14" t="s">
        <v>7</v>
      </c>
      <c r="J16" s="14" t="s">
        <v>8</v>
      </c>
      <c r="K16" s="23" t="s">
        <v>9</v>
      </c>
    </row>
    <row r="17" spans="1:11" ht="12.75">
      <c r="A17" s="5" t="s">
        <v>19</v>
      </c>
      <c r="B17" s="7">
        <v>220.49911640846292</v>
      </c>
      <c r="C17" s="7">
        <v>469.3177904632825</v>
      </c>
      <c r="D17" s="7">
        <v>1279.7363419174305</v>
      </c>
      <c r="E17" s="7">
        <v>1159.4301898567785</v>
      </c>
      <c r="F17" s="7">
        <v>456.0477490493577</v>
      </c>
      <c r="G17" s="7">
        <v>982.7841217959563</v>
      </c>
      <c r="H17" s="7">
        <v>597.3431034096701</v>
      </c>
      <c r="I17" s="7">
        <v>321.51039866236187</v>
      </c>
      <c r="J17" s="7">
        <v>1398.1990863057492</v>
      </c>
      <c r="K17" s="8">
        <v>6884.8678978690505</v>
      </c>
    </row>
    <row r="18" spans="1:11" ht="12.75">
      <c r="A18" s="5" t="s">
        <v>10</v>
      </c>
      <c r="B18" s="7">
        <v>6.159199885314738</v>
      </c>
      <c r="C18" s="7">
        <v>12.62927455323632</v>
      </c>
      <c r="D18" s="7">
        <v>28.754861685137033</v>
      </c>
      <c r="E18" s="7">
        <v>31.370939400303875</v>
      </c>
      <c r="F18" s="7">
        <v>7.967703222614771</v>
      </c>
      <c r="G18" s="7">
        <v>22.980520487891162</v>
      </c>
      <c r="H18" s="7">
        <v>13.949134579592734</v>
      </c>
      <c r="I18" s="7">
        <v>8.166744046975568</v>
      </c>
      <c r="J18" s="7">
        <v>27.927742736475544</v>
      </c>
      <c r="K18" s="8">
        <v>159.90612059754173</v>
      </c>
    </row>
    <row r="19" spans="1:11" ht="12.75">
      <c r="A19" s="9" t="s">
        <v>11</v>
      </c>
      <c r="B19" s="10">
        <v>226.65831629377766</v>
      </c>
      <c r="C19" s="10">
        <v>481.9470650165188</v>
      </c>
      <c r="D19" s="10">
        <v>1308.4912036025676</v>
      </c>
      <c r="E19" s="10">
        <v>1190.8011292570823</v>
      </c>
      <c r="F19" s="10">
        <v>464.0154522719725</v>
      </c>
      <c r="G19" s="10">
        <v>1005.7646422838474</v>
      </c>
      <c r="H19" s="10">
        <v>611.2922379892628</v>
      </c>
      <c r="I19" s="10">
        <v>329.67714270933743</v>
      </c>
      <c r="J19" s="10">
        <v>1426.1268290422247</v>
      </c>
      <c r="K19" s="10">
        <v>7044.774018466592</v>
      </c>
    </row>
    <row r="20" spans="1:12" ht="12.75">
      <c r="A20" s="9" t="s">
        <v>12</v>
      </c>
      <c r="B20" s="7">
        <v>0</v>
      </c>
      <c r="C20" s="7">
        <v>1.126345</v>
      </c>
      <c r="D20" s="7">
        <v>1.631128</v>
      </c>
      <c r="E20" s="7">
        <v>1.199983</v>
      </c>
      <c r="F20" s="7">
        <v>0.934184</v>
      </c>
      <c r="G20" s="7">
        <v>1.172271</v>
      </c>
      <c r="H20" s="7">
        <v>2.639005</v>
      </c>
      <c r="I20" s="7">
        <v>1.810943</v>
      </c>
      <c r="J20" s="7">
        <v>3.675613</v>
      </c>
      <c r="K20" s="8">
        <v>14.189472</v>
      </c>
      <c r="L20" s="21"/>
    </row>
    <row r="21" spans="1:12" ht="12.75">
      <c r="A21" s="3" t="s">
        <v>11</v>
      </c>
      <c r="B21" s="10">
        <f>B19+B20</f>
        <v>226.65831629377766</v>
      </c>
      <c r="C21" s="10">
        <f aca="true" t="shared" si="1" ref="C21:K21">C19+C20</f>
        <v>483.07341001651884</v>
      </c>
      <c r="D21" s="10">
        <f t="shared" si="1"/>
        <v>1310.1223316025676</v>
      </c>
      <c r="E21" s="10">
        <f t="shared" si="1"/>
        <v>1192.0011122570822</v>
      </c>
      <c r="F21" s="10">
        <f t="shared" si="1"/>
        <v>464.9496362719725</v>
      </c>
      <c r="G21" s="10">
        <f t="shared" si="1"/>
        <v>1006.9369132838474</v>
      </c>
      <c r="H21" s="10">
        <f t="shared" si="1"/>
        <v>613.9312429892628</v>
      </c>
      <c r="I21" s="10">
        <f t="shared" si="1"/>
        <v>331.48808570933744</v>
      </c>
      <c r="J21" s="10">
        <f t="shared" si="1"/>
        <v>1429.8024420422248</v>
      </c>
      <c r="K21" s="10">
        <f t="shared" si="1"/>
        <v>7058.963490466592</v>
      </c>
      <c r="L21" s="19"/>
    </row>
    <row r="22" spans="1:11" ht="12.75">
      <c r="A22" s="4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15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4" t="s">
        <v>14</v>
      </c>
      <c r="B26" s="16">
        <v>25.466</v>
      </c>
      <c r="C26" s="16">
        <v>51.331</v>
      </c>
      <c r="D26" s="16">
        <v>141.837</v>
      </c>
      <c r="E26" s="16">
        <v>126.337</v>
      </c>
      <c r="F26" s="16">
        <v>47.284</v>
      </c>
      <c r="G26" s="16">
        <v>108.58</v>
      </c>
      <c r="H26" s="16">
        <v>61.797</v>
      </c>
      <c r="I26" s="16">
        <v>32.218</v>
      </c>
      <c r="J26" s="16">
        <v>142.236</v>
      </c>
      <c r="K26" s="10">
        <v>737.086</v>
      </c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15" t="s">
        <v>15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15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5" t="s">
        <v>14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5"/>
      <c r="B34" s="6" t="s">
        <v>0</v>
      </c>
      <c r="C34" s="6" t="s">
        <v>1</v>
      </c>
      <c r="D34" s="6" t="s">
        <v>2</v>
      </c>
      <c r="E34" s="6" t="s">
        <v>3</v>
      </c>
      <c r="F34" s="6" t="s">
        <v>4</v>
      </c>
      <c r="G34" s="6" t="s">
        <v>5</v>
      </c>
      <c r="H34" s="6" t="s">
        <v>6</v>
      </c>
      <c r="I34" s="6" t="s">
        <v>7</v>
      </c>
      <c r="J34" s="6" t="s">
        <v>8</v>
      </c>
      <c r="K34" s="6" t="s">
        <v>9</v>
      </c>
    </row>
    <row r="35" spans="1:11" ht="12.75">
      <c r="A35" s="5" t="s">
        <v>19</v>
      </c>
      <c r="B35" s="16">
        <v>7.799877733433731</v>
      </c>
      <c r="C35" s="16">
        <v>26.45419609710698</v>
      </c>
      <c r="D35" s="16">
        <v>47.28189356574499</v>
      </c>
      <c r="E35" s="16">
        <v>45.41988682538835</v>
      </c>
      <c r="F35" s="16">
        <v>29.349959087962613</v>
      </c>
      <c r="G35" s="16">
        <v>40.746187632620284</v>
      </c>
      <c r="H35" s="16">
        <v>45.186357551932254</v>
      </c>
      <c r="I35" s="16">
        <v>14.980124461297272</v>
      </c>
      <c r="J35" s="16">
        <v>54.15388165264648</v>
      </c>
      <c r="K35" s="10">
        <v>311.37236460813295</v>
      </c>
    </row>
    <row r="36" spans="1:11" ht="12.75">
      <c r="A36" s="5" t="s">
        <v>10</v>
      </c>
      <c r="B36" s="16">
        <v>0.08643274420313628</v>
      </c>
      <c r="C36" s="16">
        <v>0.29314674441111493</v>
      </c>
      <c r="D36" s="16">
        <v>0.5239445990916647</v>
      </c>
      <c r="E36" s="16">
        <v>0.5033111535693242</v>
      </c>
      <c r="F36" s="16">
        <v>0.325235547648208</v>
      </c>
      <c r="G36" s="16">
        <v>0.45152051522644615</v>
      </c>
      <c r="H36" s="16">
        <v>0.5007233468566555</v>
      </c>
      <c r="I36" s="16">
        <v>0.16599917459532298</v>
      </c>
      <c r="J36" s="16">
        <v>0.6000951246231343</v>
      </c>
      <c r="K36" s="10">
        <v>3.4504089502250075</v>
      </c>
    </row>
    <row r="37" spans="1:11" ht="12.75">
      <c r="A37" s="17" t="s">
        <v>11</v>
      </c>
      <c r="B37" s="10">
        <v>7.886310477636867</v>
      </c>
      <c r="C37" s="10">
        <v>26.747342841518094</v>
      </c>
      <c r="D37" s="10">
        <v>47.80583816483665</v>
      </c>
      <c r="E37" s="10">
        <v>45.923197978957674</v>
      </c>
      <c r="F37" s="10">
        <v>29.675194635610822</v>
      </c>
      <c r="G37" s="10">
        <v>41.19770814784673</v>
      </c>
      <c r="H37" s="10">
        <v>45.687080898788906</v>
      </c>
      <c r="I37" s="10">
        <v>15.146123635892595</v>
      </c>
      <c r="J37" s="10">
        <v>54.753976777269614</v>
      </c>
      <c r="K37" s="10">
        <v>314.82277355835794</v>
      </c>
    </row>
    <row r="38" spans="1:11" ht="12.75">
      <c r="A38" s="4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>
      <c r="A39" s="15" t="s">
        <v>17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5" t="s">
        <v>14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5"/>
      <c r="B41" s="14" t="s">
        <v>0</v>
      </c>
      <c r="C41" s="14" t="s">
        <v>1</v>
      </c>
      <c r="D41" s="14" t="s">
        <v>2</v>
      </c>
      <c r="E41" s="14" t="s">
        <v>3</v>
      </c>
      <c r="F41" s="14" t="s">
        <v>4</v>
      </c>
      <c r="G41" s="14" t="s">
        <v>5</v>
      </c>
      <c r="H41" s="14" t="s">
        <v>6</v>
      </c>
      <c r="I41" s="14" t="s">
        <v>7</v>
      </c>
      <c r="J41" s="14" t="s">
        <v>8</v>
      </c>
      <c r="K41" s="14" t="s">
        <v>9</v>
      </c>
    </row>
    <row r="42" spans="1:11" ht="12.75">
      <c r="A42" s="5" t="s">
        <v>19</v>
      </c>
      <c r="B42" s="16">
        <v>0.057489088404824286</v>
      </c>
      <c r="C42" s="16">
        <v>0.4964523820721691</v>
      </c>
      <c r="D42" s="16">
        <v>7.050208460222136</v>
      </c>
      <c r="E42" s="16">
        <v>3.5311941759166654</v>
      </c>
      <c r="F42" s="16">
        <v>2.4052849953781146</v>
      </c>
      <c r="G42" s="16">
        <v>1.2082452478302053</v>
      </c>
      <c r="H42" s="16">
        <v>0.5247097306101336</v>
      </c>
      <c r="I42" s="16">
        <v>0.3882949445647878</v>
      </c>
      <c r="J42" s="16">
        <v>33.05768741976732</v>
      </c>
      <c r="K42" s="16">
        <v>48.71956644476636</v>
      </c>
    </row>
    <row r="43" spans="1:11" ht="12.75">
      <c r="A43" s="5" t="s">
        <v>10</v>
      </c>
      <c r="B43" s="16">
        <v>0.001273564188184622</v>
      </c>
      <c r="C43" s="16">
        <v>0.010997982269153795</v>
      </c>
      <c r="D43" s="16">
        <v>0.15618429972220294</v>
      </c>
      <c r="E43" s="16">
        <v>0.07822706132171334</v>
      </c>
      <c r="F43" s="16">
        <v>0.05328463048362346</v>
      </c>
      <c r="G43" s="16">
        <v>0.026766433785575146</v>
      </c>
      <c r="H43" s="16">
        <v>0.011623971446396921</v>
      </c>
      <c r="I43" s="16">
        <v>0.008601954728670763</v>
      </c>
      <c r="J43" s="16">
        <v>0.7323317869567181</v>
      </c>
      <c r="K43" s="16">
        <v>1.079291684902239</v>
      </c>
    </row>
    <row r="44" spans="1:11" ht="12.75">
      <c r="A44" s="17" t="s">
        <v>11</v>
      </c>
      <c r="B44" s="10">
        <v>0.058762652593008904</v>
      </c>
      <c r="C44" s="10">
        <v>0.5074503643413228</v>
      </c>
      <c r="D44" s="10">
        <v>7.20639275994434</v>
      </c>
      <c r="E44" s="10">
        <v>3.609421237238379</v>
      </c>
      <c r="F44" s="10">
        <v>2.458569625861738</v>
      </c>
      <c r="G44" s="10">
        <v>1.2350116816157803</v>
      </c>
      <c r="H44" s="10">
        <v>0.5363337020565305</v>
      </c>
      <c r="I44" s="10">
        <v>0.39689689929345856</v>
      </c>
      <c r="J44" s="10">
        <v>33.79001920672404</v>
      </c>
      <c r="K44" s="10">
        <v>49.7988581296686</v>
      </c>
    </row>
    <row r="45" spans="1:11" ht="12.75">
      <c r="A45" s="4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.75">
      <c r="A46" s="15" t="s">
        <v>18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2.75">
      <c r="A47" s="5" t="s">
        <v>14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.75">
      <c r="A48" s="5"/>
      <c r="B48" s="14" t="s">
        <v>0</v>
      </c>
      <c r="C48" s="14" t="s">
        <v>1</v>
      </c>
      <c r="D48" s="14" t="s">
        <v>2</v>
      </c>
      <c r="E48" s="14" t="s">
        <v>3</v>
      </c>
      <c r="F48" s="14" t="s">
        <v>4</v>
      </c>
      <c r="G48" s="14" t="s">
        <v>5</v>
      </c>
      <c r="H48" s="14" t="s">
        <v>6</v>
      </c>
      <c r="I48" s="14" t="s">
        <v>7</v>
      </c>
      <c r="J48" s="14" t="s">
        <v>8</v>
      </c>
      <c r="K48" s="14" t="s">
        <v>9</v>
      </c>
    </row>
    <row r="49" spans="1:11" ht="12.75">
      <c r="A49" s="5" t="s">
        <v>19</v>
      </c>
      <c r="B49" s="16">
        <v>1.1223010011966048</v>
      </c>
      <c r="C49" s="16">
        <v>2.2618508164578377</v>
      </c>
      <c r="D49" s="16">
        <v>6.250184195114425</v>
      </c>
      <c r="E49" s="16">
        <v>5.566834378278849</v>
      </c>
      <c r="F49" s="16">
        <v>2.0836332877361756</v>
      </c>
      <c r="G49" s="16">
        <v>4.784475721780695</v>
      </c>
      <c r="H49" s="16">
        <v>2.7231939211868688</v>
      </c>
      <c r="I49" s="16">
        <v>1.4195903361510895</v>
      </c>
      <c r="J49" s="16">
        <v>6.267647305275027</v>
      </c>
      <c r="K49" s="16">
        <v>32.479710963177574</v>
      </c>
    </row>
    <row r="50" spans="1:11" ht="12.75">
      <c r="A50" s="5" t="s">
        <v>10</v>
      </c>
      <c r="B50" s="16">
        <v>0.015983034629862915</v>
      </c>
      <c r="C50" s="16">
        <v>0.032211714939650395</v>
      </c>
      <c r="D50" s="16">
        <v>0.0890108004243284</v>
      </c>
      <c r="E50" s="16">
        <v>0.0792790049655814</v>
      </c>
      <c r="F50" s="16">
        <v>0.029673664158113296</v>
      </c>
      <c r="G50" s="16">
        <v>0.06813719409091346</v>
      </c>
      <c r="H50" s="16">
        <v>0.03878184435348021</v>
      </c>
      <c r="I50" s="16">
        <v>0.020216823720846717</v>
      </c>
      <c r="J50" s="16">
        <v>0.08925949796103669</v>
      </c>
      <c r="K50" s="16">
        <v>0.46255357924381346</v>
      </c>
    </row>
    <row r="51" spans="1:11" ht="12.75">
      <c r="A51" s="17" t="s">
        <v>11</v>
      </c>
      <c r="B51" s="10">
        <v>1.1382840358264676</v>
      </c>
      <c r="C51" s="10">
        <v>2.294062531397488</v>
      </c>
      <c r="D51" s="10">
        <v>6.339194995538754</v>
      </c>
      <c r="E51" s="10">
        <v>5.646113383244431</v>
      </c>
      <c r="F51" s="10">
        <v>2.113306951894289</v>
      </c>
      <c r="G51" s="10">
        <v>4.8526129158716085</v>
      </c>
      <c r="H51" s="10">
        <v>2.761975765540349</v>
      </c>
      <c r="I51" s="10">
        <v>1.4398071598719362</v>
      </c>
      <c r="J51" s="10">
        <v>6.356906803236064</v>
      </c>
      <c r="K51" s="10">
        <v>32.942264542421384</v>
      </c>
    </row>
    <row r="53" ht="12.75">
      <c r="A53" s="18"/>
    </row>
    <row r="54" spans="1:11" ht="12.75">
      <c r="A54" s="5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2.75">
      <c r="A55" s="5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.75">
      <c r="A56" s="5"/>
      <c r="B56" s="16"/>
      <c r="C56" s="16"/>
      <c r="D56" s="16"/>
      <c r="E56" s="16"/>
      <c r="F56" s="16"/>
      <c r="G56" s="16"/>
      <c r="H56" s="16"/>
      <c r="I56" s="16"/>
      <c r="J56" s="16"/>
      <c r="K56" s="10"/>
    </row>
    <row r="57" spans="1:11" ht="12.75">
      <c r="A57" s="5"/>
      <c r="B57" s="16"/>
      <c r="C57" s="16"/>
      <c r="D57" s="16"/>
      <c r="E57" s="16"/>
      <c r="F57" s="16"/>
      <c r="G57" s="16"/>
      <c r="H57" s="16"/>
      <c r="I57" s="16"/>
      <c r="J57" s="16"/>
      <c r="K57" s="10"/>
    </row>
    <row r="58" spans="1:11" ht="12.75">
      <c r="A58" s="17"/>
      <c r="B58" s="10"/>
      <c r="C58" s="10"/>
      <c r="D58" s="10"/>
      <c r="E58" s="10"/>
      <c r="F58" s="10"/>
      <c r="G58" s="10"/>
      <c r="H58" s="10"/>
      <c r="I58" s="10"/>
      <c r="J58" s="10"/>
      <c r="K58" s="10"/>
    </row>
  </sheetData>
  <sheetProtection/>
  <printOptions/>
  <pageMargins left="0.62" right="0.55" top="0.984251969" bottom="0.984251969" header="0.4921259845" footer="0.4921259845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11" width="8.57421875" style="0" customWidth="1"/>
  </cols>
  <sheetData>
    <row r="1" ht="15.75">
      <c r="A1" s="1" t="s">
        <v>56</v>
      </c>
    </row>
    <row r="2" ht="12.75">
      <c r="A2" s="2"/>
    </row>
    <row r="5" spans="1:11" ht="12.75">
      <c r="A5" s="3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5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</row>
    <row r="8" spans="1:11" ht="12.75">
      <c r="A8" s="5" t="s">
        <v>23</v>
      </c>
      <c r="B8" s="7">
        <v>169.45596600000002</v>
      </c>
      <c r="C8" s="7">
        <v>413.96754799999997</v>
      </c>
      <c r="D8" s="7">
        <v>1047.752847</v>
      </c>
      <c r="E8" s="7">
        <v>1011.0229860000001</v>
      </c>
      <c r="F8" s="7">
        <v>442.65999800000003</v>
      </c>
      <c r="G8" s="7">
        <v>815.983933</v>
      </c>
      <c r="H8" s="7">
        <v>549.78704</v>
      </c>
      <c r="I8" s="7">
        <v>294.567521</v>
      </c>
      <c r="J8" s="7">
        <v>1634.472335</v>
      </c>
      <c r="K8" s="8">
        <v>6379.670174000001</v>
      </c>
    </row>
    <row r="9" spans="1:11" ht="12.75">
      <c r="A9" s="5" t="s">
        <v>10</v>
      </c>
      <c r="B9" s="7">
        <v>1.475274</v>
      </c>
      <c r="C9" s="7">
        <v>5.1588959999999995</v>
      </c>
      <c r="D9" s="7">
        <v>11.089283</v>
      </c>
      <c r="E9" s="7">
        <v>11.536642</v>
      </c>
      <c r="F9" s="7">
        <v>4.0757840000000005</v>
      </c>
      <c r="G9" s="7">
        <v>9.041839</v>
      </c>
      <c r="H9" s="7">
        <v>4.891622999999999</v>
      </c>
      <c r="I9" s="7">
        <v>2.889227</v>
      </c>
      <c r="J9" s="7">
        <v>12.888166000000002</v>
      </c>
      <c r="K9" s="8">
        <v>63.046734</v>
      </c>
    </row>
    <row r="10" spans="1:11" ht="12.75">
      <c r="A10" s="9" t="s">
        <v>11</v>
      </c>
      <c r="B10" s="10">
        <f aca="true" t="shared" si="0" ref="B10:K10">B8+B9</f>
        <v>170.93124000000003</v>
      </c>
      <c r="C10" s="10">
        <f t="shared" si="0"/>
        <v>419.126444</v>
      </c>
      <c r="D10" s="10">
        <f t="shared" si="0"/>
        <v>1058.84213</v>
      </c>
      <c r="E10" s="10">
        <f t="shared" si="0"/>
        <v>1022.5596280000001</v>
      </c>
      <c r="F10" s="10">
        <f t="shared" si="0"/>
        <v>446.73578200000003</v>
      </c>
      <c r="G10" s="10">
        <f t="shared" si="0"/>
        <v>825.025772</v>
      </c>
      <c r="H10" s="10">
        <f t="shared" si="0"/>
        <v>554.678663</v>
      </c>
      <c r="I10" s="10">
        <f t="shared" si="0"/>
        <v>297.456748</v>
      </c>
      <c r="J10" s="10">
        <f t="shared" si="0"/>
        <v>1647.3605009999999</v>
      </c>
      <c r="K10" s="10">
        <f t="shared" si="0"/>
        <v>6442.716908</v>
      </c>
    </row>
    <row r="11" spans="1:12" ht="12.75">
      <c r="A11" s="9" t="s">
        <v>12</v>
      </c>
      <c r="B11" s="7">
        <v>0</v>
      </c>
      <c r="C11" s="7">
        <v>-0.605052</v>
      </c>
      <c r="D11" s="7">
        <v>-1.3783610000000002</v>
      </c>
      <c r="E11" s="7">
        <v>-0.7193229999999999</v>
      </c>
      <c r="F11" s="7">
        <v>-0.1029</v>
      </c>
      <c r="G11" s="7">
        <v>-0.41022000000000003</v>
      </c>
      <c r="H11" s="7">
        <v>-0.254906</v>
      </c>
      <c r="I11" s="7">
        <v>-0.636309</v>
      </c>
      <c r="J11" s="7">
        <v>-1.471176</v>
      </c>
      <c r="K11" s="8">
        <v>-5.578246999999999</v>
      </c>
      <c r="L11" s="11"/>
    </row>
    <row r="12" spans="1:12" ht="12.75">
      <c r="A12" s="3" t="s">
        <v>11</v>
      </c>
      <c r="B12" s="10">
        <f aca="true" t="shared" si="1" ref="B12:K12">B10+B11</f>
        <v>170.93124000000003</v>
      </c>
      <c r="C12" s="10">
        <f t="shared" si="1"/>
        <v>418.521392</v>
      </c>
      <c r="D12" s="10">
        <f t="shared" si="1"/>
        <v>1057.463769</v>
      </c>
      <c r="E12" s="10">
        <f t="shared" si="1"/>
        <v>1021.8403050000001</v>
      </c>
      <c r="F12" s="10">
        <f t="shared" si="1"/>
        <v>446.63288200000005</v>
      </c>
      <c r="G12" s="10">
        <f t="shared" si="1"/>
        <v>824.615552</v>
      </c>
      <c r="H12" s="10">
        <f t="shared" si="1"/>
        <v>554.423757</v>
      </c>
      <c r="I12" s="10">
        <f t="shared" si="1"/>
        <v>296.820439</v>
      </c>
      <c r="J12" s="10">
        <f t="shared" si="1"/>
        <v>1645.8893249999999</v>
      </c>
      <c r="K12" s="10">
        <f t="shared" si="1"/>
        <v>6437.138661</v>
      </c>
      <c r="L12" s="12"/>
    </row>
    <row r="13" spans="1:11" ht="12.75">
      <c r="A13" s="5"/>
      <c r="B13" s="12"/>
      <c r="C13" s="12"/>
      <c r="D13" s="12"/>
      <c r="E13" s="12"/>
      <c r="F13" s="12"/>
      <c r="G13" s="12"/>
      <c r="H13" s="12"/>
      <c r="I13" s="12"/>
      <c r="J13" s="12"/>
      <c r="K13" s="13"/>
    </row>
    <row r="14" spans="1:11" ht="12.75">
      <c r="A14" s="3" t="s">
        <v>24</v>
      </c>
      <c r="B14" s="12"/>
      <c r="C14" s="12"/>
      <c r="D14" s="12"/>
      <c r="E14" s="12"/>
      <c r="F14" s="12"/>
      <c r="G14" s="12"/>
      <c r="H14" s="12"/>
      <c r="I14" s="12"/>
      <c r="J14" s="12"/>
      <c r="K14" s="13"/>
    </row>
    <row r="15" spans="1:11" ht="12.75">
      <c r="A15" s="3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ht="12.75">
      <c r="A16" s="5"/>
      <c r="B16" s="14" t="s">
        <v>0</v>
      </c>
      <c r="C16" s="14" t="s">
        <v>1</v>
      </c>
      <c r="D16" s="14" t="s">
        <v>2</v>
      </c>
      <c r="E16" s="14" t="s">
        <v>3</v>
      </c>
      <c r="F16" s="14" t="s">
        <v>4</v>
      </c>
      <c r="G16" s="14" t="s">
        <v>5</v>
      </c>
      <c r="H16" s="14" t="s">
        <v>6</v>
      </c>
      <c r="I16" s="14" t="s">
        <v>7</v>
      </c>
      <c r="J16" s="14" t="s">
        <v>8</v>
      </c>
      <c r="K16" s="14" t="s">
        <v>9</v>
      </c>
    </row>
    <row r="17" spans="1:11" ht="12.75">
      <c r="A17" s="5" t="s">
        <v>23</v>
      </c>
      <c r="B17" s="7">
        <v>228.75940400000002</v>
      </c>
      <c r="C17" s="7">
        <v>485.981854</v>
      </c>
      <c r="D17" s="7">
        <v>1324.630698</v>
      </c>
      <c r="E17" s="7">
        <v>1199.6231579999999</v>
      </c>
      <c r="F17" s="7">
        <v>470.27732</v>
      </c>
      <c r="G17" s="7">
        <v>1018.750956</v>
      </c>
      <c r="H17" s="7">
        <v>614.3788460000001</v>
      </c>
      <c r="I17" s="7">
        <v>329.71783</v>
      </c>
      <c r="J17" s="7">
        <v>1438.9347779999998</v>
      </c>
      <c r="K17" s="8">
        <v>7111.054844</v>
      </c>
    </row>
    <row r="18" spans="1:11" ht="12.75">
      <c r="A18" s="5" t="s">
        <v>10</v>
      </c>
      <c r="B18" s="7">
        <v>5.476668</v>
      </c>
      <c r="C18" s="7">
        <v>12.211552</v>
      </c>
      <c r="D18" s="7">
        <v>33.34720299999999</v>
      </c>
      <c r="E18" s="7">
        <v>30.574572</v>
      </c>
      <c r="F18" s="7">
        <v>12.534308000000001</v>
      </c>
      <c r="G18" s="7">
        <v>25.01948</v>
      </c>
      <c r="H18" s="7">
        <v>15.884407</v>
      </c>
      <c r="I18" s="7">
        <v>7.7706550000000005</v>
      </c>
      <c r="J18" s="7">
        <v>36.50551300000001</v>
      </c>
      <c r="K18" s="8">
        <v>179.32435800000002</v>
      </c>
    </row>
    <row r="19" spans="1:11" ht="12.75">
      <c r="A19" s="9" t="s">
        <v>11</v>
      </c>
      <c r="B19" s="10">
        <f>B17+B18</f>
        <v>234.236072</v>
      </c>
      <c r="C19" s="10">
        <f aca="true" t="shared" si="2" ref="C19:K19">C17+C18</f>
        <v>498.193406</v>
      </c>
      <c r="D19" s="10">
        <f t="shared" si="2"/>
        <v>1357.977901</v>
      </c>
      <c r="E19" s="10">
        <f t="shared" si="2"/>
        <v>1230.1977299999999</v>
      </c>
      <c r="F19" s="10">
        <f t="shared" si="2"/>
        <v>482.811628</v>
      </c>
      <c r="G19" s="10">
        <f t="shared" si="2"/>
        <v>1043.770436</v>
      </c>
      <c r="H19" s="10">
        <f t="shared" si="2"/>
        <v>630.2632530000001</v>
      </c>
      <c r="I19" s="10">
        <f t="shared" si="2"/>
        <v>337.48848499999997</v>
      </c>
      <c r="J19" s="10">
        <f t="shared" si="2"/>
        <v>1475.440291</v>
      </c>
      <c r="K19" s="10">
        <f t="shared" si="2"/>
        <v>7290.379202</v>
      </c>
    </row>
    <row r="20" spans="1:11" ht="12.75">
      <c r="A20" s="5" t="s">
        <v>12</v>
      </c>
      <c r="B20" s="7">
        <v>0</v>
      </c>
      <c r="C20" s="7">
        <v>-0.8225520000000001</v>
      </c>
      <c r="D20" s="7">
        <v>-1.5958610000000002</v>
      </c>
      <c r="E20" s="7">
        <v>-0.936823</v>
      </c>
      <c r="F20" s="7">
        <v>-0.29058300000000004</v>
      </c>
      <c r="G20" s="7">
        <v>-0.6277200000000001</v>
      </c>
      <c r="H20" s="7">
        <v>-0.907409</v>
      </c>
      <c r="I20" s="7">
        <v>-1.071311</v>
      </c>
      <c r="J20" s="7">
        <v>-1.6886759999999998</v>
      </c>
      <c r="K20" s="8">
        <v>-7.9409350000000005</v>
      </c>
    </row>
    <row r="21" spans="1:12" ht="12.75">
      <c r="A21" s="3" t="s">
        <v>11</v>
      </c>
      <c r="B21" s="10">
        <f>B19+B20</f>
        <v>234.236072</v>
      </c>
      <c r="C21" s="10">
        <f aca="true" t="shared" si="3" ref="C21:K21">C19+C20</f>
        <v>497.370854</v>
      </c>
      <c r="D21" s="10">
        <f t="shared" si="3"/>
        <v>1356.38204</v>
      </c>
      <c r="E21" s="10">
        <f t="shared" si="3"/>
        <v>1229.2609069999999</v>
      </c>
      <c r="F21" s="10">
        <f t="shared" si="3"/>
        <v>482.52104499999996</v>
      </c>
      <c r="G21" s="10">
        <f t="shared" si="3"/>
        <v>1043.142716</v>
      </c>
      <c r="H21" s="10">
        <f t="shared" si="3"/>
        <v>629.355844</v>
      </c>
      <c r="I21" s="10">
        <f t="shared" si="3"/>
        <v>336.417174</v>
      </c>
      <c r="J21" s="10">
        <f t="shared" si="3"/>
        <v>1473.751615</v>
      </c>
      <c r="K21" s="10">
        <f t="shared" si="3"/>
        <v>7282.438267</v>
      </c>
      <c r="L21" s="19"/>
    </row>
    <row r="22" spans="1:11" ht="12.75">
      <c r="A22" s="4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15" t="s">
        <v>31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4" t="s">
        <v>14</v>
      </c>
      <c r="B26" s="16">
        <v>29.855187</v>
      </c>
      <c r="C26" s="16">
        <v>60.14639</v>
      </c>
      <c r="D26" s="16">
        <v>166.31233300000002</v>
      </c>
      <c r="E26" s="16">
        <v>148.017562</v>
      </c>
      <c r="F26" s="16">
        <v>55.494214</v>
      </c>
      <c r="G26" s="16">
        <v>127.26223399999999</v>
      </c>
      <c r="H26" s="16">
        <v>72.47804</v>
      </c>
      <c r="I26" s="16">
        <v>37.739877</v>
      </c>
      <c r="J26" s="16">
        <v>166.80955799999998</v>
      </c>
      <c r="K26" s="10">
        <v>864.115395</v>
      </c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15" t="s">
        <v>15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15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5" t="s">
        <v>14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5"/>
      <c r="B34" s="6" t="s">
        <v>0</v>
      </c>
      <c r="C34" s="6" t="s">
        <v>1</v>
      </c>
      <c r="D34" s="6" t="s">
        <v>2</v>
      </c>
      <c r="E34" s="6" t="s">
        <v>3</v>
      </c>
      <c r="F34" s="6" t="s">
        <v>4</v>
      </c>
      <c r="G34" s="6" t="s">
        <v>5</v>
      </c>
      <c r="H34" s="6" t="s">
        <v>6</v>
      </c>
      <c r="I34" s="6" t="s">
        <v>7</v>
      </c>
      <c r="J34" s="6" t="s">
        <v>8</v>
      </c>
      <c r="K34" s="6" t="s">
        <v>9</v>
      </c>
    </row>
    <row r="35" spans="1:11" ht="12.75">
      <c r="A35" s="5" t="s">
        <v>23</v>
      </c>
      <c r="B35" s="16">
        <v>8.373304144119325</v>
      </c>
      <c r="C35" s="16">
        <v>28.399038725923273</v>
      </c>
      <c r="D35" s="16">
        <v>50.75793350437205</v>
      </c>
      <c r="E35" s="16">
        <v>48.75903694621501</v>
      </c>
      <c r="F35" s="16">
        <v>31.50769056385979</v>
      </c>
      <c r="G35" s="16">
        <v>43.741739732513174</v>
      </c>
      <c r="H35" s="16">
        <v>48.50833921734917</v>
      </c>
      <c r="I35" s="16">
        <v>16.081423647647934</v>
      </c>
      <c r="J35" s="16">
        <v>58.13513200579773</v>
      </c>
      <c r="K35" s="10">
        <v>334.26363848779744</v>
      </c>
    </row>
    <row r="36" spans="1:11" ht="12.75">
      <c r="A36" s="5" t="s">
        <v>10</v>
      </c>
      <c r="B36" s="16">
        <v>0.11697175960853293</v>
      </c>
      <c r="C36" s="16">
        <v>0.3967233810914586</v>
      </c>
      <c r="D36" s="16">
        <v>0.7090683311998364</v>
      </c>
      <c r="E36" s="16">
        <v>0.6811445338960767</v>
      </c>
      <c r="F36" s="16">
        <v>0.44015002238324813</v>
      </c>
      <c r="G36" s="16">
        <v>0.61105486875739</v>
      </c>
      <c r="H36" s="16">
        <v>0.6776423854048044</v>
      </c>
      <c r="I36" s="16">
        <v>0.22465115188689197</v>
      </c>
      <c r="J36" s="16">
        <v>0.8121248874697048</v>
      </c>
      <c r="K36" s="10">
        <v>4.669531321697944</v>
      </c>
    </row>
    <row r="37" spans="1:11" ht="12.75">
      <c r="A37" s="17" t="s">
        <v>11</v>
      </c>
      <c r="B37" s="10">
        <v>8.49027590372786</v>
      </c>
      <c r="C37" s="10">
        <v>28.79576210701473</v>
      </c>
      <c r="D37" s="10">
        <v>51.467001835571885</v>
      </c>
      <c r="E37" s="10">
        <v>49.440181480111086</v>
      </c>
      <c r="F37" s="10">
        <v>31.947840586243036</v>
      </c>
      <c r="G37" s="10">
        <v>44.35279460127057</v>
      </c>
      <c r="H37" s="10">
        <v>49.18598160275397</v>
      </c>
      <c r="I37" s="10">
        <v>16.306074799534827</v>
      </c>
      <c r="J37" s="10">
        <v>58.947256893267436</v>
      </c>
      <c r="K37" s="15">
        <v>338.9331698094954</v>
      </c>
    </row>
    <row r="38" spans="1:11" ht="12.75">
      <c r="A38" s="4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>
      <c r="A39" s="15" t="s">
        <v>17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5" t="s">
        <v>14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5"/>
      <c r="B41" s="14" t="s">
        <v>0</v>
      </c>
      <c r="C41" s="14" t="s">
        <v>1</v>
      </c>
      <c r="D41" s="14" t="s">
        <v>2</v>
      </c>
      <c r="E41" s="14" t="s">
        <v>3</v>
      </c>
      <c r="F41" s="14" t="s">
        <v>4</v>
      </c>
      <c r="G41" s="14" t="s">
        <v>5</v>
      </c>
      <c r="H41" s="14" t="s">
        <v>6</v>
      </c>
      <c r="I41" s="14" t="s">
        <v>7</v>
      </c>
      <c r="J41" s="14" t="s">
        <v>8</v>
      </c>
      <c r="K41" s="14" t="s">
        <v>9</v>
      </c>
    </row>
    <row r="42" spans="1:11" ht="12.75">
      <c r="A42" s="5" t="s">
        <v>23</v>
      </c>
      <c r="B42" s="16">
        <v>0.058556214143469704</v>
      </c>
      <c r="C42" s="16">
        <v>0.5056676458660647</v>
      </c>
      <c r="D42" s="16">
        <v>7.181076058221611</v>
      </c>
      <c r="E42" s="16">
        <v>3.5967410178971915</v>
      </c>
      <c r="F42" s="16">
        <v>2.4499324510704232</v>
      </c>
      <c r="G42" s="16">
        <v>1.2306729752186856</v>
      </c>
      <c r="H42" s="16">
        <v>0.5344495138348888</v>
      </c>
      <c r="I42" s="16">
        <v>0.3955025650198759</v>
      </c>
      <c r="J42" s="16">
        <v>33.671311849803814</v>
      </c>
      <c r="K42" s="16">
        <v>49.62391029107602</v>
      </c>
    </row>
    <row r="43" spans="1:11" ht="12.75">
      <c r="A43" s="5" t="s">
        <v>10</v>
      </c>
      <c r="B43" s="16">
        <v>-0.00016753552123776672</v>
      </c>
      <c r="C43" s="16">
        <v>-0.001446768611366906</v>
      </c>
      <c r="D43" s="16">
        <v>-0.02054581803247129</v>
      </c>
      <c r="E43" s="16">
        <v>-0.01029065642314663</v>
      </c>
      <c r="F43" s="16">
        <v>-0.007009515833481601</v>
      </c>
      <c r="G43" s="16">
        <v>-0.0035210855310986063</v>
      </c>
      <c r="H43" s="16">
        <v>-0.0015291165794328663</v>
      </c>
      <c r="I43" s="16">
        <v>-0.0011315746646312732</v>
      </c>
      <c r="J43" s="16">
        <v>-0.09633718408938875</v>
      </c>
      <c r="K43" s="16">
        <v>-0.14197925528625568</v>
      </c>
    </row>
    <row r="44" spans="1:11" ht="12.75">
      <c r="A44" s="17" t="s">
        <v>11</v>
      </c>
      <c r="B44" s="10">
        <v>0.05838867862223194</v>
      </c>
      <c r="C44" s="10">
        <v>0.5042208772546978</v>
      </c>
      <c r="D44" s="10">
        <v>7.160530240189139</v>
      </c>
      <c r="E44" s="10">
        <v>3.586450361474045</v>
      </c>
      <c r="F44" s="10">
        <v>2.4429229352369415</v>
      </c>
      <c r="G44" s="10">
        <v>1.227151889687587</v>
      </c>
      <c r="H44" s="10">
        <v>0.5329203972554559</v>
      </c>
      <c r="I44" s="10">
        <v>0.39437099035524464</v>
      </c>
      <c r="J44" s="10">
        <v>33.57497466571443</v>
      </c>
      <c r="K44" s="10">
        <v>49.48193103578977</v>
      </c>
    </row>
    <row r="45" spans="1:11" ht="12.75">
      <c r="A45" s="4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.75">
      <c r="A46" s="15" t="s">
        <v>18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2.75">
      <c r="A47" s="5" t="s">
        <v>14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.75">
      <c r="A48" s="5"/>
      <c r="B48" s="14" t="s">
        <v>0</v>
      </c>
      <c r="C48" s="14" t="s">
        <v>1</v>
      </c>
      <c r="D48" s="14" t="s">
        <v>2</v>
      </c>
      <c r="E48" s="14" t="s">
        <v>3</v>
      </c>
      <c r="F48" s="14" t="s">
        <v>4</v>
      </c>
      <c r="G48" s="14" t="s">
        <v>5</v>
      </c>
      <c r="H48" s="14" t="s">
        <v>6</v>
      </c>
      <c r="I48" s="14" t="s">
        <v>7</v>
      </c>
      <c r="J48" s="14" t="s">
        <v>8</v>
      </c>
      <c r="K48" s="14" t="s">
        <v>9</v>
      </c>
    </row>
    <row r="49" spans="1:11" ht="12.75">
      <c r="A49" s="5" t="s">
        <v>23</v>
      </c>
      <c r="B49" s="16">
        <v>1.1430979283020957</v>
      </c>
      <c r="C49" s="16">
        <v>2.3036167352555648</v>
      </c>
      <c r="D49" s="16">
        <v>6.366215057688158</v>
      </c>
      <c r="E49" s="16">
        <v>5.669433450976601</v>
      </c>
      <c r="F49" s="16">
        <v>2.1228514383841515</v>
      </c>
      <c r="G49" s="16">
        <v>4.8730933760574064</v>
      </c>
      <c r="H49" s="16">
        <v>2.773926919499271</v>
      </c>
      <c r="I49" s="16">
        <v>1.4457599548007771</v>
      </c>
      <c r="J49" s="16">
        <v>6.38461199975333</v>
      </c>
      <c r="K49" s="16">
        <v>33.082606860717355</v>
      </c>
    </row>
    <row r="50" spans="1:11" ht="12.75">
      <c r="A50" s="5" t="s">
        <v>10</v>
      </c>
      <c r="B50" s="16">
        <v>-0.0033454595090256587</v>
      </c>
      <c r="C50" s="16">
        <v>-0.007053447684886351</v>
      </c>
      <c r="D50" s="16">
        <v>-0.018186054303658238</v>
      </c>
      <c r="E50" s="16">
        <v>-0.017770114651438233</v>
      </c>
      <c r="F50" s="16">
        <v>-0.004931054597187199</v>
      </c>
      <c r="G50" s="16">
        <v>-0.014349759197110871</v>
      </c>
      <c r="H50" s="16">
        <v>-0.007547172199022725</v>
      </c>
      <c r="I50" s="16">
        <v>-0.004518926971984342</v>
      </c>
      <c r="J50" s="16">
        <v>-0.016951573909647324</v>
      </c>
      <c r="K50" s="16">
        <v>-0.09465356302396094</v>
      </c>
    </row>
    <row r="51" spans="1:11" ht="12.75">
      <c r="A51" s="17" t="s">
        <v>11</v>
      </c>
      <c r="B51" s="10">
        <v>1.13975246879307</v>
      </c>
      <c r="C51" s="10">
        <v>2.2965632875706783</v>
      </c>
      <c r="D51" s="10">
        <v>6.348029003384499</v>
      </c>
      <c r="E51" s="10">
        <v>5.6516633363251625</v>
      </c>
      <c r="F51" s="10">
        <v>2.1179203837869642</v>
      </c>
      <c r="G51" s="10">
        <v>4.858743616860296</v>
      </c>
      <c r="H51" s="10">
        <v>2.766379747300248</v>
      </c>
      <c r="I51" s="10">
        <v>1.4412410278287928</v>
      </c>
      <c r="J51" s="10">
        <v>6.367660425843683</v>
      </c>
      <c r="K51" s="10">
        <v>32.987953297693394</v>
      </c>
    </row>
    <row r="53" ht="12.75">
      <c r="A53" s="18"/>
    </row>
    <row r="54" spans="1:11" ht="12.75">
      <c r="A54" s="5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2.75">
      <c r="A55" s="5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.75">
      <c r="A56" s="5"/>
      <c r="B56" s="16"/>
      <c r="C56" s="16"/>
      <c r="D56" s="16"/>
      <c r="E56" s="16"/>
      <c r="F56" s="16"/>
      <c r="G56" s="16"/>
      <c r="H56" s="16"/>
      <c r="I56" s="16"/>
      <c r="J56" s="16"/>
      <c r="K56" s="10"/>
    </row>
    <row r="57" spans="1:11" ht="12.75">
      <c r="A57" s="5"/>
      <c r="B57" s="16"/>
      <c r="C57" s="16"/>
      <c r="D57" s="16"/>
      <c r="E57" s="16"/>
      <c r="F57" s="16"/>
      <c r="G57" s="16"/>
      <c r="H57" s="16"/>
      <c r="I57" s="16"/>
      <c r="J57" s="16"/>
      <c r="K57" s="10"/>
    </row>
    <row r="58" spans="1:11" ht="12.75">
      <c r="A58" s="17"/>
      <c r="B58" s="10"/>
      <c r="C58" s="10"/>
      <c r="D58" s="10"/>
      <c r="E58" s="10"/>
      <c r="F58" s="10"/>
      <c r="G58" s="10"/>
      <c r="H58" s="10"/>
      <c r="I58" s="10"/>
      <c r="J58" s="10"/>
      <c r="K58" s="10"/>
    </row>
  </sheetData>
  <sheetProtection/>
  <printOptions/>
  <pageMargins left="0.62" right="0.55" top="0.984251969" bottom="0.984251969" header="0.4921259845" footer="0.4921259845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30" customWidth="1"/>
    <col min="2" max="11" width="8.57421875" style="30" customWidth="1"/>
    <col min="12" max="16384" width="11.421875" style="30" customWidth="1"/>
  </cols>
  <sheetData>
    <row r="1" ht="15.75">
      <c r="A1" s="29" t="s">
        <v>57</v>
      </c>
    </row>
    <row r="2" ht="12.75">
      <c r="A2" s="31"/>
    </row>
    <row r="5" spans="1:11" ht="12.75">
      <c r="A5" s="32" t="s">
        <v>25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34"/>
      <c r="B7" s="35" t="s">
        <v>0</v>
      </c>
      <c r="C7" s="35" t="s">
        <v>1</v>
      </c>
      <c r="D7" s="35" t="s">
        <v>2</v>
      </c>
      <c r="E7" s="35" t="s">
        <v>3</v>
      </c>
      <c r="F7" s="35" t="s">
        <v>4</v>
      </c>
      <c r="G7" s="35" t="s">
        <v>5</v>
      </c>
      <c r="H7" s="35" t="s">
        <v>6</v>
      </c>
      <c r="I7" s="35" t="s">
        <v>7</v>
      </c>
      <c r="J7" s="35" t="s">
        <v>8</v>
      </c>
      <c r="K7" s="35" t="s">
        <v>9</v>
      </c>
    </row>
    <row r="8" spans="1:11" ht="12.75">
      <c r="A8" s="34" t="s">
        <v>26</v>
      </c>
      <c r="B8" s="26">
        <v>176.79106099999998</v>
      </c>
      <c r="C8" s="26">
        <v>432.650392</v>
      </c>
      <c r="D8" s="26">
        <v>1093.3754669999998</v>
      </c>
      <c r="E8" s="26">
        <v>1051.7337579999999</v>
      </c>
      <c r="F8" s="26">
        <v>462.33483400000006</v>
      </c>
      <c r="G8" s="26">
        <v>859.809287</v>
      </c>
      <c r="H8" s="26">
        <v>578.766645</v>
      </c>
      <c r="I8" s="26">
        <v>306.40123</v>
      </c>
      <c r="J8" s="26">
        <v>1724.0263670000002</v>
      </c>
      <c r="K8" s="27">
        <v>6685.889040999999</v>
      </c>
    </row>
    <row r="9" spans="1:11" ht="12.75">
      <c r="A9" s="34" t="s">
        <v>10</v>
      </c>
      <c r="B9" s="26">
        <v>0.18238500000000113</v>
      </c>
      <c r="C9" s="26">
        <v>-0.5281309999999994</v>
      </c>
      <c r="D9" s="26">
        <v>-2.861739999999998</v>
      </c>
      <c r="E9" s="26">
        <v>-1.6280639999999984</v>
      </c>
      <c r="F9" s="26">
        <v>-0.0063739999999997965</v>
      </c>
      <c r="G9" s="26">
        <v>0.6205249999999978</v>
      </c>
      <c r="H9" s="26">
        <v>0.19365799999999944</v>
      </c>
      <c r="I9" s="26">
        <v>-1.233464</v>
      </c>
      <c r="J9" s="26">
        <v>3.804593999999997</v>
      </c>
      <c r="K9" s="27">
        <v>-1.4566109999999752</v>
      </c>
    </row>
    <row r="10" spans="1:11" ht="12.75">
      <c r="A10" s="36" t="s">
        <v>11</v>
      </c>
      <c r="B10" s="37">
        <f>B8+B9</f>
        <v>176.973446</v>
      </c>
      <c r="C10" s="37">
        <f aca="true" t="shared" si="0" ref="C10:K10">C8+C9</f>
        <v>432.12226100000004</v>
      </c>
      <c r="D10" s="37">
        <f t="shared" si="0"/>
        <v>1090.5137269999998</v>
      </c>
      <c r="E10" s="37">
        <f t="shared" si="0"/>
        <v>1050.1056939999999</v>
      </c>
      <c r="F10" s="37">
        <f t="shared" si="0"/>
        <v>462.32846000000006</v>
      </c>
      <c r="G10" s="37">
        <f t="shared" si="0"/>
        <v>860.4298120000001</v>
      </c>
      <c r="H10" s="37">
        <f t="shared" si="0"/>
        <v>578.9603030000001</v>
      </c>
      <c r="I10" s="37">
        <f t="shared" si="0"/>
        <v>305.167766</v>
      </c>
      <c r="J10" s="37">
        <f t="shared" si="0"/>
        <v>1727.8309610000001</v>
      </c>
      <c r="K10" s="37">
        <f t="shared" si="0"/>
        <v>6684.43243</v>
      </c>
    </row>
    <row r="11" spans="1:11" ht="12.75">
      <c r="A11" s="36" t="s">
        <v>12</v>
      </c>
      <c r="B11" s="26">
        <v>0</v>
      </c>
      <c r="C11" s="26">
        <v>1.05024</v>
      </c>
      <c r="D11" s="26">
        <v>1.110814</v>
      </c>
      <c r="E11" s="26">
        <v>1.079449</v>
      </c>
      <c r="F11" s="26">
        <v>0.886562</v>
      </c>
      <c r="G11" s="26">
        <v>0.945638</v>
      </c>
      <c r="H11" s="26">
        <v>2.467788</v>
      </c>
      <c r="I11" s="26">
        <v>1.8684159999999999</v>
      </c>
      <c r="J11" s="26">
        <v>2.506361</v>
      </c>
      <c r="K11" s="27">
        <v>11.915268</v>
      </c>
    </row>
    <row r="12" spans="1:11" ht="12.75">
      <c r="A12" s="32" t="s">
        <v>11</v>
      </c>
      <c r="B12" s="37">
        <f>B10+B11</f>
        <v>176.973446</v>
      </c>
      <c r="C12" s="37">
        <f aca="true" t="shared" si="1" ref="C12:K12">C10+C11</f>
        <v>433.172501</v>
      </c>
      <c r="D12" s="37">
        <f t="shared" si="1"/>
        <v>1091.6245409999997</v>
      </c>
      <c r="E12" s="37">
        <f t="shared" si="1"/>
        <v>1051.185143</v>
      </c>
      <c r="F12" s="37">
        <f t="shared" si="1"/>
        <v>463.2150220000001</v>
      </c>
      <c r="G12" s="37">
        <f t="shared" si="1"/>
        <v>861.3754500000001</v>
      </c>
      <c r="H12" s="37">
        <f t="shared" si="1"/>
        <v>581.4280910000001</v>
      </c>
      <c r="I12" s="37">
        <f t="shared" si="1"/>
        <v>307.036182</v>
      </c>
      <c r="J12" s="37">
        <f t="shared" si="1"/>
        <v>1730.337322</v>
      </c>
      <c r="K12" s="37">
        <f t="shared" si="1"/>
        <v>6696.347698</v>
      </c>
    </row>
    <row r="13" spans="1:11" ht="12.75">
      <c r="A13" s="34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>
      <c r="A14" s="32" t="s">
        <v>27</v>
      </c>
      <c r="B14" s="38"/>
      <c r="C14" s="38"/>
      <c r="D14" s="38"/>
      <c r="E14" s="38"/>
      <c r="F14" s="38"/>
      <c r="G14" s="38"/>
      <c r="H14" s="38"/>
      <c r="I14" s="38"/>
      <c r="J14" s="38"/>
      <c r="K14" s="39"/>
    </row>
    <row r="15" spans="1:11" ht="12.75">
      <c r="A15" s="32"/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spans="1:11" ht="12.75">
      <c r="A16" s="34"/>
      <c r="B16" s="40" t="s">
        <v>0</v>
      </c>
      <c r="C16" s="40" t="s">
        <v>1</v>
      </c>
      <c r="D16" s="40" t="s">
        <v>2</v>
      </c>
      <c r="E16" s="40" t="s">
        <v>3</v>
      </c>
      <c r="F16" s="40" t="s">
        <v>4</v>
      </c>
      <c r="G16" s="40" t="s">
        <v>5</v>
      </c>
      <c r="H16" s="40" t="s">
        <v>6</v>
      </c>
      <c r="I16" s="40" t="s">
        <v>7</v>
      </c>
      <c r="J16" s="40" t="s">
        <v>8</v>
      </c>
      <c r="K16" s="40" t="s">
        <v>9</v>
      </c>
    </row>
    <row r="17" spans="1:11" ht="12.75">
      <c r="A17" s="34" t="s">
        <v>26</v>
      </c>
      <c r="B17" s="26">
        <v>238.216721</v>
      </c>
      <c r="C17" s="26">
        <v>507.816943</v>
      </c>
      <c r="D17" s="26">
        <v>1384.3400520000002</v>
      </c>
      <c r="E17" s="26">
        <v>1253.925799</v>
      </c>
      <c r="F17" s="26">
        <v>493.07892799999996</v>
      </c>
      <c r="G17" s="26">
        <v>1063.117091</v>
      </c>
      <c r="H17" s="26">
        <v>645.0129370000001</v>
      </c>
      <c r="I17" s="26">
        <v>346.96722400000004</v>
      </c>
      <c r="J17" s="26">
        <v>1510.692086</v>
      </c>
      <c r="K17" s="27">
        <v>7443.167780999999</v>
      </c>
    </row>
    <row r="18" spans="1:11" ht="12.75">
      <c r="A18" s="34" t="s">
        <v>10</v>
      </c>
      <c r="B18" s="26">
        <v>0.5882729999999999</v>
      </c>
      <c r="C18" s="26">
        <v>3.002132</v>
      </c>
      <c r="D18" s="26">
        <v>8.654791</v>
      </c>
      <c r="E18" s="26">
        <v>8.831278000000001</v>
      </c>
      <c r="F18" s="26">
        <v>5.120557000000001</v>
      </c>
      <c r="G18" s="26">
        <v>5.585223</v>
      </c>
      <c r="H18" s="26">
        <v>7.256494999999999</v>
      </c>
      <c r="I18" s="26">
        <v>4.971549000000001</v>
      </c>
      <c r="J18" s="26">
        <v>15.758955000000006</v>
      </c>
      <c r="K18" s="27">
        <v>59.769253</v>
      </c>
    </row>
    <row r="19" spans="1:11" ht="12.75">
      <c r="A19" s="36" t="s">
        <v>11</v>
      </c>
      <c r="B19" s="37">
        <f>B17+B18</f>
        <v>238.804994</v>
      </c>
      <c r="C19" s="37">
        <f aca="true" t="shared" si="2" ref="C19:K19">C17+C18</f>
        <v>510.819075</v>
      </c>
      <c r="D19" s="37">
        <f t="shared" si="2"/>
        <v>1392.9948430000002</v>
      </c>
      <c r="E19" s="37">
        <f t="shared" si="2"/>
        <v>1262.7570770000002</v>
      </c>
      <c r="F19" s="37">
        <f t="shared" si="2"/>
        <v>498.199485</v>
      </c>
      <c r="G19" s="37">
        <f t="shared" si="2"/>
        <v>1068.7023140000001</v>
      </c>
      <c r="H19" s="37">
        <f t="shared" si="2"/>
        <v>652.269432</v>
      </c>
      <c r="I19" s="37">
        <f t="shared" si="2"/>
        <v>351.938773</v>
      </c>
      <c r="J19" s="37">
        <f t="shared" si="2"/>
        <v>1526.451041</v>
      </c>
      <c r="K19" s="37">
        <f t="shared" si="2"/>
        <v>7502.937034</v>
      </c>
    </row>
    <row r="20" spans="1:11" ht="12.75">
      <c r="A20" s="36" t="s">
        <v>12</v>
      </c>
      <c r="B20" s="26">
        <v>0</v>
      </c>
      <c r="C20" s="26">
        <v>0.83274</v>
      </c>
      <c r="D20" s="26">
        <v>0.8933139999999999</v>
      </c>
      <c r="E20" s="26">
        <v>0.86195</v>
      </c>
      <c r="F20" s="26">
        <v>0.597623</v>
      </c>
      <c r="G20" s="26">
        <v>0.7281380000000001</v>
      </c>
      <c r="H20" s="26">
        <v>1.81529</v>
      </c>
      <c r="I20" s="26">
        <v>1.463331</v>
      </c>
      <c r="J20" s="26">
        <v>2.288861</v>
      </c>
      <c r="K20" s="27">
        <v>9.481247</v>
      </c>
    </row>
    <row r="21" spans="1:11" ht="12.75">
      <c r="A21" s="32" t="s">
        <v>11</v>
      </c>
      <c r="B21" s="37">
        <f>B19+B20</f>
        <v>238.804994</v>
      </c>
      <c r="C21" s="37">
        <f aca="true" t="shared" si="3" ref="C21:K21">C19+C20</f>
        <v>511.651815</v>
      </c>
      <c r="D21" s="37">
        <f t="shared" si="3"/>
        <v>1393.888157</v>
      </c>
      <c r="E21" s="37">
        <f t="shared" si="3"/>
        <v>1263.6190270000002</v>
      </c>
      <c r="F21" s="37">
        <f t="shared" si="3"/>
        <v>498.797108</v>
      </c>
      <c r="G21" s="37">
        <f t="shared" si="3"/>
        <v>1069.430452</v>
      </c>
      <c r="H21" s="37">
        <f t="shared" si="3"/>
        <v>654.084722</v>
      </c>
      <c r="I21" s="37">
        <f t="shared" si="3"/>
        <v>353.402104</v>
      </c>
      <c r="J21" s="37">
        <f t="shared" si="3"/>
        <v>1528.739902</v>
      </c>
      <c r="K21" s="37">
        <f t="shared" si="3"/>
        <v>7512.418280999999</v>
      </c>
    </row>
    <row r="22" spans="1:11" ht="12.75">
      <c r="A22" s="33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2.75">
      <c r="A23" s="41" t="s">
        <v>31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12.75">
      <c r="A25" s="33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2.75">
      <c r="A26" s="33" t="s">
        <v>14</v>
      </c>
      <c r="B26" s="42">
        <v>34.437078</v>
      </c>
      <c r="C26" s="42">
        <v>69.402424</v>
      </c>
      <c r="D26" s="42">
        <v>191.811038</v>
      </c>
      <c r="E26" s="42">
        <v>170.809903</v>
      </c>
      <c r="F26" s="42">
        <v>63.960269999999994</v>
      </c>
      <c r="G26" s="42">
        <v>146.818572</v>
      </c>
      <c r="H26" s="42">
        <v>83.575949</v>
      </c>
      <c r="I26" s="42">
        <v>43.557173000000006</v>
      </c>
      <c r="J26" s="42">
        <v>192.359241</v>
      </c>
      <c r="K26" s="37">
        <v>996.731648</v>
      </c>
    </row>
    <row r="27" spans="1:11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ht="12.75">
      <c r="A30" s="41" t="s">
        <v>15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2.75">
      <c r="A32" s="41" t="s">
        <v>16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2.75">
      <c r="A33" s="34" t="s">
        <v>14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2.75">
      <c r="A34" s="34"/>
      <c r="B34" s="6" t="s">
        <v>0</v>
      </c>
      <c r="C34" s="6" t="s">
        <v>1</v>
      </c>
      <c r="D34" s="6" t="s">
        <v>2</v>
      </c>
      <c r="E34" s="6" t="s">
        <v>3</v>
      </c>
      <c r="F34" s="6" t="s">
        <v>4</v>
      </c>
      <c r="G34" s="6" t="s">
        <v>5</v>
      </c>
      <c r="H34" s="6" t="s">
        <v>6</v>
      </c>
      <c r="I34" s="6" t="s">
        <v>7</v>
      </c>
      <c r="J34" s="6" t="s">
        <v>8</v>
      </c>
      <c r="K34" s="6" t="s">
        <v>9</v>
      </c>
    </row>
    <row r="35" spans="1:11" ht="12.75">
      <c r="A35" s="34" t="s">
        <v>26</v>
      </c>
      <c r="B35" s="42">
        <v>8.85435614936367</v>
      </c>
      <c r="C35" s="42">
        <v>30.030582772452604</v>
      </c>
      <c r="D35" s="42">
        <v>53.67401122877739</v>
      </c>
      <c r="E35" s="42">
        <v>51.56027670689337</v>
      </c>
      <c r="F35" s="42">
        <v>33.31782876802475</v>
      </c>
      <c r="G35" s="42">
        <v>46.25473236350221</v>
      </c>
      <c r="H35" s="42">
        <v>51.295176223379485</v>
      </c>
      <c r="I35" s="42">
        <v>17.005312349137178</v>
      </c>
      <c r="J35" s="42">
        <v>61.47503479031256</v>
      </c>
      <c r="K35" s="37">
        <v>353.4673113518432</v>
      </c>
    </row>
    <row r="36" spans="1:11" ht="12.75">
      <c r="A36" s="34" t="s">
        <v>10</v>
      </c>
      <c r="B36" s="42">
        <v>0.12149101788931875</v>
      </c>
      <c r="C36" s="42">
        <v>0.4120509732485589</v>
      </c>
      <c r="D36" s="42">
        <v>0.7364635156284567</v>
      </c>
      <c r="E36" s="42">
        <v>0.7074608694417112</v>
      </c>
      <c r="F36" s="42">
        <v>0.45715542300387463</v>
      </c>
      <c r="G36" s="42">
        <v>0.6346632575248005</v>
      </c>
      <c r="H36" s="42">
        <v>0.7038234138162807</v>
      </c>
      <c r="I36" s="42">
        <v>0.23333065351916593</v>
      </c>
      <c r="J36" s="42">
        <v>0.8435017098327444</v>
      </c>
      <c r="K36" s="37">
        <v>4.8499408339049115</v>
      </c>
    </row>
    <row r="37" spans="1:11" ht="12.75">
      <c r="A37" s="43" t="s">
        <v>11</v>
      </c>
      <c r="B37" s="37">
        <v>8.97584716725299</v>
      </c>
      <c r="C37" s="37">
        <v>30.442633745701162</v>
      </c>
      <c r="D37" s="37">
        <v>54.410474744405846</v>
      </c>
      <c r="E37" s="37">
        <v>52.26773757633508</v>
      </c>
      <c r="F37" s="37">
        <v>33.77498419102862</v>
      </c>
      <c r="G37" s="37">
        <v>46.889395621027006</v>
      </c>
      <c r="H37" s="37">
        <v>51.998999637195766</v>
      </c>
      <c r="I37" s="37">
        <v>17.238643002656342</v>
      </c>
      <c r="J37" s="37">
        <v>62.318536500145306</v>
      </c>
      <c r="K37" s="37">
        <v>358.3172521857481</v>
      </c>
    </row>
    <row r="38" spans="1:11" ht="12.75">
      <c r="A38" s="33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2.75">
      <c r="A39" s="41" t="s">
        <v>17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2.75">
      <c r="A40" s="34" t="s">
        <v>14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2.75">
      <c r="A41" s="34"/>
      <c r="B41" s="40" t="s">
        <v>0</v>
      </c>
      <c r="C41" s="40" t="s">
        <v>1</v>
      </c>
      <c r="D41" s="40" t="s">
        <v>2</v>
      </c>
      <c r="E41" s="40" t="s">
        <v>3</v>
      </c>
      <c r="F41" s="40" t="s">
        <v>4</v>
      </c>
      <c r="G41" s="40" t="s">
        <v>5</v>
      </c>
      <c r="H41" s="40" t="s">
        <v>6</v>
      </c>
      <c r="I41" s="40" t="s">
        <v>7</v>
      </c>
      <c r="J41" s="40" t="s">
        <v>8</v>
      </c>
      <c r="K41" s="40" t="s">
        <v>9</v>
      </c>
    </row>
    <row r="42" spans="1:11" ht="12.75">
      <c r="A42" s="34" t="s">
        <v>26</v>
      </c>
      <c r="B42" s="42">
        <v>0.06479911656717757</v>
      </c>
      <c r="C42" s="42">
        <v>0.5595788117114741</v>
      </c>
      <c r="D42" s="42">
        <v>7.946678100369718</v>
      </c>
      <c r="E42" s="42">
        <v>3.980203363380535</v>
      </c>
      <c r="F42" s="42">
        <v>2.7111291397640316</v>
      </c>
      <c r="G42" s="42">
        <v>1.3618797380220373</v>
      </c>
      <c r="H42" s="42">
        <v>0.591429224939409</v>
      </c>
      <c r="I42" s="42">
        <v>0.43766860935627566</v>
      </c>
      <c r="J42" s="42">
        <v>37.261139461294064</v>
      </c>
      <c r="K42" s="42">
        <v>54.914505565404724</v>
      </c>
    </row>
    <row r="43" spans="1:11" ht="12.75">
      <c r="A43" s="34" t="s">
        <v>10</v>
      </c>
      <c r="B43" s="42">
        <v>0.0006378756687528622</v>
      </c>
      <c r="C43" s="42">
        <v>0.005508434800501334</v>
      </c>
      <c r="D43" s="42">
        <v>0.0782262610383268</v>
      </c>
      <c r="E43" s="42">
        <v>0.03918070209424286</v>
      </c>
      <c r="F43" s="42">
        <v>0.026688069293499213</v>
      </c>
      <c r="G43" s="42">
        <v>0.013406200495822532</v>
      </c>
      <c r="H43" s="42">
        <v>0.005821966908871446</v>
      </c>
      <c r="I43" s="42">
        <v>0.004308363627084986</v>
      </c>
      <c r="J43" s="42">
        <v>0.3667947267109048</v>
      </c>
      <c r="K43" s="42">
        <v>0.5405726006380068</v>
      </c>
    </row>
    <row r="44" spans="1:11" ht="12.75">
      <c r="A44" s="43" t="s">
        <v>11</v>
      </c>
      <c r="B44" s="37">
        <v>0.06543699223593044</v>
      </c>
      <c r="C44" s="37">
        <v>0.5650872465119754</v>
      </c>
      <c r="D44" s="37">
        <v>8.024904361408044</v>
      </c>
      <c r="E44" s="37">
        <v>4.019384065474778</v>
      </c>
      <c r="F44" s="37">
        <v>2.737817209057531</v>
      </c>
      <c r="G44" s="37">
        <v>1.37528593851786</v>
      </c>
      <c r="H44" s="37">
        <v>0.5972511918482805</v>
      </c>
      <c r="I44" s="37">
        <v>0.44197697298336064</v>
      </c>
      <c r="J44" s="37">
        <v>37.62793418800497</v>
      </c>
      <c r="K44" s="37">
        <v>55.45507816604273</v>
      </c>
    </row>
    <row r="45" spans="1:11" ht="12.75">
      <c r="A45" s="33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12.75">
      <c r="A46" s="41" t="s">
        <v>18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ht="12.75">
      <c r="A47" s="34" t="s">
        <v>14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ht="12.75">
      <c r="A48" s="34"/>
      <c r="B48" s="40" t="s">
        <v>0</v>
      </c>
      <c r="C48" s="40" t="s">
        <v>1</v>
      </c>
      <c r="D48" s="40" t="s">
        <v>2</v>
      </c>
      <c r="E48" s="40" t="s">
        <v>3</v>
      </c>
      <c r="F48" s="40" t="s">
        <v>4</v>
      </c>
      <c r="G48" s="40" t="s">
        <v>5</v>
      </c>
      <c r="H48" s="40" t="s">
        <v>6</v>
      </c>
      <c r="I48" s="40" t="s">
        <v>7</v>
      </c>
      <c r="J48" s="40" t="s">
        <v>8</v>
      </c>
      <c r="K48" s="40" t="s">
        <v>9</v>
      </c>
    </row>
    <row r="49" spans="1:11" ht="12.75">
      <c r="A49" s="34" t="s">
        <v>26</v>
      </c>
      <c r="B49" s="42">
        <v>1.2649679796966058</v>
      </c>
      <c r="C49" s="42">
        <v>2.5492141446882366</v>
      </c>
      <c r="D49" s="42">
        <v>7.044941645375509</v>
      </c>
      <c r="E49" s="42">
        <v>6.273873480952469</v>
      </c>
      <c r="F49" s="42">
        <v>2.349176766681321</v>
      </c>
      <c r="G49" s="42">
        <v>5.392632538439138</v>
      </c>
      <c r="H49" s="42">
        <v>3.0696659002759463</v>
      </c>
      <c r="I49" s="42">
        <v>1.5998979648813365</v>
      </c>
      <c r="J49" s="42">
        <v>7.065299955945927</v>
      </c>
      <c r="K49" s="42">
        <v>36.609670376936485</v>
      </c>
    </row>
    <row r="50" spans="1:11" ht="12.75">
      <c r="A50" s="34" t="s">
        <v>10</v>
      </c>
      <c r="B50" s="42">
        <v>0.01245221136870623</v>
      </c>
      <c r="C50" s="42">
        <v>0.02509419516007574</v>
      </c>
      <c r="D50" s="42">
        <v>0.06934966248668024</v>
      </c>
      <c r="E50" s="42">
        <v>0.06175934880507975</v>
      </c>
      <c r="F50" s="42">
        <v>0.023125048310065267</v>
      </c>
      <c r="G50" s="42">
        <v>0.0530845059165149</v>
      </c>
      <c r="H50" s="42">
        <v>0.030217467347049477</v>
      </c>
      <c r="I50" s="42">
        <v>0.015749226815878273</v>
      </c>
      <c r="J50" s="42">
        <v>0.06955006754862735</v>
      </c>
      <c r="K50" s="42">
        <v>0.3603817337586772</v>
      </c>
    </row>
    <row r="51" spans="1:11" ht="12.75">
      <c r="A51" s="43" t="s">
        <v>11</v>
      </c>
      <c r="B51" s="37">
        <v>1.277420191065312</v>
      </c>
      <c r="C51" s="37">
        <v>2.5743083398483124</v>
      </c>
      <c r="D51" s="37">
        <v>7.11429130786219</v>
      </c>
      <c r="E51" s="37">
        <v>6.335632829757548</v>
      </c>
      <c r="F51" s="37">
        <v>2.372301814991386</v>
      </c>
      <c r="G51" s="37">
        <v>5.445717044355653</v>
      </c>
      <c r="H51" s="37">
        <v>3.0998833676229958</v>
      </c>
      <c r="I51" s="37">
        <v>1.6156471916972148</v>
      </c>
      <c r="J51" s="37">
        <v>7.134850023494555</v>
      </c>
      <c r="K51" s="37">
        <v>36.97005211069517</v>
      </c>
    </row>
    <row r="53" ht="12.75">
      <c r="A53" s="44"/>
    </row>
    <row r="54" spans="1:11" ht="12.75">
      <c r="A54" s="34"/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2.75">
      <c r="A55" s="34"/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12.75">
      <c r="A56" s="34"/>
      <c r="B56" s="42"/>
      <c r="C56" s="42"/>
      <c r="D56" s="42"/>
      <c r="E56" s="42"/>
      <c r="F56" s="42"/>
      <c r="G56" s="42"/>
      <c r="H56" s="42"/>
      <c r="I56" s="42"/>
      <c r="J56" s="42"/>
      <c r="K56" s="37"/>
    </row>
    <row r="57" spans="1:11" ht="12.75">
      <c r="A57" s="34"/>
      <c r="B57" s="42"/>
      <c r="C57" s="42"/>
      <c r="D57" s="42"/>
      <c r="E57" s="42"/>
      <c r="F57" s="42"/>
      <c r="G57" s="42"/>
      <c r="H57" s="42"/>
      <c r="I57" s="42"/>
      <c r="J57" s="42"/>
      <c r="K57" s="37"/>
    </row>
    <row r="58" spans="1:11" ht="12.75">
      <c r="A58" s="43"/>
      <c r="B58" s="37"/>
      <c r="C58" s="37"/>
      <c r="D58" s="37"/>
      <c r="E58" s="37"/>
      <c r="F58" s="37"/>
      <c r="G58" s="37"/>
      <c r="H58" s="37"/>
      <c r="I58" s="37"/>
      <c r="J58" s="37"/>
      <c r="K58" s="37"/>
    </row>
  </sheetData>
  <sheetProtection/>
  <printOptions/>
  <pageMargins left="0.62" right="0.55" top="0.984251969" bottom="0.984251969" header="0.4921259845" footer="0.492125984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30" customWidth="1"/>
    <col min="2" max="11" width="8.57421875" style="30" customWidth="1"/>
    <col min="12" max="16384" width="11.421875" style="30" customWidth="1"/>
  </cols>
  <sheetData>
    <row r="1" ht="15.75">
      <c r="A1" s="29" t="s">
        <v>70</v>
      </c>
    </row>
    <row r="2" ht="12.75">
      <c r="A2" s="31"/>
    </row>
    <row r="5" spans="1:11" ht="12.75">
      <c r="A5" s="32" t="s">
        <v>28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34"/>
      <c r="B7" s="35" t="s">
        <v>0</v>
      </c>
      <c r="C7" s="35" t="s">
        <v>1</v>
      </c>
      <c r="D7" s="35" t="s">
        <v>2</v>
      </c>
      <c r="E7" s="35" t="s">
        <v>3</v>
      </c>
      <c r="F7" s="35" t="s">
        <v>4</v>
      </c>
      <c r="G7" s="35" t="s">
        <v>5</v>
      </c>
      <c r="H7" s="35" t="s">
        <v>6</v>
      </c>
      <c r="I7" s="35" t="s">
        <v>7</v>
      </c>
      <c r="J7" s="35" t="s">
        <v>8</v>
      </c>
      <c r="K7" s="35" t="s">
        <v>9</v>
      </c>
    </row>
    <row r="8" spans="1:11" ht="12.75">
      <c r="A8" s="34" t="s">
        <v>29</v>
      </c>
      <c r="B8" s="26">
        <v>188.22921</v>
      </c>
      <c r="C8" s="26">
        <v>460.088547</v>
      </c>
      <c r="D8" s="26">
        <v>1171.972278</v>
      </c>
      <c r="E8" s="26">
        <v>1125.1005830000001</v>
      </c>
      <c r="F8" s="26">
        <v>493.50759700000003</v>
      </c>
      <c r="G8" s="26">
        <v>921.23175</v>
      </c>
      <c r="H8" s="26">
        <v>610.562748</v>
      </c>
      <c r="I8" s="26">
        <v>328.80492300000003</v>
      </c>
      <c r="J8" s="26">
        <v>1836.000096</v>
      </c>
      <c r="K8" s="27">
        <v>7135.497732</v>
      </c>
    </row>
    <row r="9" spans="1:11" ht="12.75">
      <c r="A9" s="34" t="s">
        <v>10</v>
      </c>
      <c r="B9" s="26">
        <v>1.789924</v>
      </c>
      <c r="C9" s="26">
        <v>2.529429</v>
      </c>
      <c r="D9" s="26">
        <v>8.282854</v>
      </c>
      <c r="E9" s="26">
        <v>8.151582000000001</v>
      </c>
      <c r="F9" s="26">
        <v>4.231476000000001</v>
      </c>
      <c r="G9" s="26">
        <v>6.534809</v>
      </c>
      <c r="H9" s="26">
        <v>3.626113</v>
      </c>
      <c r="I9" s="26">
        <v>1.841256</v>
      </c>
      <c r="J9" s="26">
        <v>14.526371999999999</v>
      </c>
      <c r="K9" s="27">
        <v>51.513815</v>
      </c>
    </row>
    <row r="10" spans="1:11" ht="12.75">
      <c r="A10" s="36" t="s">
        <v>11</v>
      </c>
      <c r="B10" s="37">
        <f aca="true" t="shared" si="0" ref="B10:K10">B8+B9</f>
        <v>190.019134</v>
      </c>
      <c r="C10" s="37">
        <f t="shared" si="0"/>
        <v>462.617976</v>
      </c>
      <c r="D10" s="37">
        <f t="shared" si="0"/>
        <v>1180.255132</v>
      </c>
      <c r="E10" s="37">
        <f t="shared" si="0"/>
        <v>1133.252165</v>
      </c>
      <c r="F10" s="37">
        <f t="shared" si="0"/>
        <v>497.739073</v>
      </c>
      <c r="G10" s="37">
        <f t="shared" si="0"/>
        <v>927.766559</v>
      </c>
      <c r="H10" s="37">
        <f t="shared" si="0"/>
        <v>614.1888610000001</v>
      </c>
      <c r="I10" s="37">
        <f t="shared" si="0"/>
        <v>330.646179</v>
      </c>
      <c r="J10" s="37">
        <f t="shared" si="0"/>
        <v>1850.526468</v>
      </c>
      <c r="K10" s="37">
        <f t="shared" si="0"/>
        <v>7187.011547</v>
      </c>
    </row>
    <row r="11" spans="1:11" ht="12.75">
      <c r="A11" s="36" t="s">
        <v>12</v>
      </c>
      <c r="B11" s="26">
        <v>0</v>
      </c>
      <c r="C11" s="26">
        <v>1.124331</v>
      </c>
      <c r="D11" s="26">
        <v>1.089974</v>
      </c>
      <c r="E11" s="26">
        <v>1.098385</v>
      </c>
      <c r="F11" s="26">
        <v>0.901142</v>
      </c>
      <c r="G11" s="26">
        <v>0.934705</v>
      </c>
      <c r="H11" s="26">
        <v>2.745743</v>
      </c>
      <c r="I11" s="26">
        <v>1.955233</v>
      </c>
      <c r="J11" s="26">
        <v>2.42129</v>
      </c>
      <c r="K11" s="27">
        <v>12.270802999999999</v>
      </c>
    </row>
    <row r="12" spans="1:11" ht="12.75">
      <c r="A12" s="32" t="s">
        <v>11</v>
      </c>
      <c r="B12" s="37">
        <f aca="true" t="shared" si="1" ref="B12:K12">B10+B11</f>
        <v>190.019134</v>
      </c>
      <c r="C12" s="37">
        <f t="shared" si="1"/>
        <v>463.742307</v>
      </c>
      <c r="D12" s="37">
        <f t="shared" si="1"/>
        <v>1181.345106</v>
      </c>
      <c r="E12" s="37">
        <f t="shared" si="1"/>
        <v>1134.35055</v>
      </c>
      <c r="F12" s="37">
        <f t="shared" si="1"/>
        <v>498.640215</v>
      </c>
      <c r="G12" s="37">
        <f t="shared" si="1"/>
        <v>928.701264</v>
      </c>
      <c r="H12" s="37">
        <f t="shared" si="1"/>
        <v>616.934604</v>
      </c>
      <c r="I12" s="37">
        <f t="shared" si="1"/>
        <v>332.60141200000004</v>
      </c>
      <c r="J12" s="37">
        <f t="shared" si="1"/>
        <v>1852.947758</v>
      </c>
      <c r="K12" s="37">
        <f t="shared" si="1"/>
        <v>7199.28235</v>
      </c>
    </row>
    <row r="13" spans="1:11" ht="12.75">
      <c r="A13" s="34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>
      <c r="A14" s="32" t="s">
        <v>30</v>
      </c>
      <c r="B14" s="38"/>
      <c r="C14" s="38"/>
      <c r="D14" s="38"/>
      <c r="E14" s="38"/>
      <c r="F14" s="38"/>
      <c r="G14" s="38"/>
      <c r="H14" s="38"/>
      <c r="I14" s="38"/>
      <c r="J14" s="38"/>
      <c r="K14" s="39"/>
    </row>
    <row r="15" spans="1:11" ht="12.75">
      <c r="A15" s="32"/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spans="1:11" ht="12.75">
      <c r="A16" s="34"/>
      <c r="B16" s="40" t="s">
        <v>0</v>
      </c>
      <c r="C16" s="40" t="s">
        <v>1</v>
      </c>
      <c r="D16" s="40" t="s">
        <v>2</v>
      </c>
      <c r="E16" s="40" t="s">
        <v>3</v>
      </c>
      <c r="F16" s="40" t="s">
        <v>4</v>
      </c>
      <c r="G16" s="40" t="s">
        <v>5</v>
      </c>
      <c r="H16" s="40" t="s">
        <v>6</v>
      </c>
      <c r="I16" s="40" t="s">
        <v>7</v>
      </c>
      <c r="J16" s="40" t="s">
        <v>8</v>
      </c>
      <c r="K16" s="40" t="s">
        <v>9</v>
      </c>
    </row>
    <row r="17" spans="1:11" ht="12.75">
      <c r="A17" s="34" t="s">
        <v>29</v>
      </c>
      <c r="B17" s="26">
        <v>255.782903</v>
      </c>
      <c r="C17" s="26">
        <v>545.47183</v>
      </c>
      <c r="D17" s="26">
        <v>1487.225078</v>
      </c>
      <c r="E17" s="26">
        <v>1346.7027599999997</v>
      </c>
      <c r="F17" s="26">
        <v>530.074104</v>
      </c>
      <c r="G17" s="26">
        <v>1141.820202</v>
      </c>
      <c r="H17" s="26">
        <v>694.5280700000001</v>
      </c>
      <c r="I17" s="26">
        <v>372.893138</v>
      </c>
      <c r="J17" s="26">
        <v>1622.4073899999999</v>
      </c>
      <c r="K17" s="27">
        <v>7996.905475000001</v>
      </c>
    </row>
    <row r="18" spans="1:11" ht="12.75">
      <c r="A18" s="34" t="s">
        <v>10</v>
      </c>
      <c r="B18" s="26">
        <v>3.172344</v>
      </c>
      <c r="C18" s="26">
        <v>6.685261000000001</v>
      </c>
      <c r="D18" s="26">
        <v>18.582959000000002</v>
      </c>
      <c r="E18" s="26">
        <v>16.70465</v>
      </c>
      <c r="F18" s="26">
        <v>6.901493</v>
      </c>
      <c r="G18" s="26">
        <v>14.142513999999998</v>
      </c>
      <c r="H18" s="26">
        <v>7.941326999999999</v>
      </c>
      <c r="I18" s="26">
        <v>4.773493</v>
      </c>
      <c r="J18" s="26">
        <v>19.766171</v>
      </c>
      <c r="K18" s="27">
        <v>98.670212</v>
      </c>
    </row>
    <row r="19" spans="1:11" ht="12.75">
      <c r="A19" s="36" t="s">
        <v>11</v>
      </c>
      <c r="B19" s="37">
        <f aca="true" t="shared" si="2" ref="B19:K19">B17+B18</f>
        <v>258.955247</v>
      </c>
      <c r="C19" s="37">
        <f t="shared" si="2"/>
        <v>552.1570909999999</v>
      </c>
      <c r="D19" s="37">
        <f t="shared" si="2"/>
        <v>1505.808037</v>
      </c>
      <c r="E19" s="37">
        <f t="shared" si="2"/>
        <v>1363.4074099999996</v>
      </c>
      <c r="F19" s="37">
        <f t="shared" si="2"/>
        <v>536.975597</v>
      </c>
      <c r="G19" s="37">
        <f t="shared" si="2"/>
        <v>1155.962716</v>
      </c>
      <c r="H19" s="37">
        <f t="shared" si="2"/>
        <v>702.4693970000001</v>
      </c>
      <c r="I19" s="37">
        <f t="shared" si="2"/>
        <v>377.666631</v>
      </c>
      <c r="J19" s="37">
        <f t="shared" si="2"/>
        <v>1642.1735609999998</v>
      </c>
      <c r="K19" s="37">
        <f t="shared" si="2"/>
        <v>8095.575687000001</v>
      </c>
    </row>
    <row r="20" spans="1:11" ht="12.75">
      <c r="A20" s="36" t="s">
        <v>12</v>
      </c>
      <c r="B20" s="26">
        <v>0</v>
      </c>
      <c r="C20" s="26">
        <v>0.90683</v>
      </c>
      <c r="D20" s="26">
        <v>0.8724740000000001</v>
      </c>
      <c r="E20" s="26">
        <v>0.880885</v>
      </c>
      <c r="F20" s="26">
        <v>0.6227820000000001</v>
      </c>
      <c r="G20" s="26">
        <v>0.7172050000000001</v>
      </c>
      <c r="H20" s="26">
        <v>2.093242</v>
      </c>
      <c r="I20" s="26">
        <v>1.543317</v>
      </c>
      <c r="J20" s="26">
        <v>2.20379</v>
      </c>
      <c r="K20" s="27">
        <v>9.840525000000001</v>
      </c>
    </row>
    <row r="21" spans="1:11" ht="12.75">
      <c r="A21" s="32" t="s">
        <v>11</v>
      </c>
      <c r="B21" s="37">
        <f aca="true" t="shared" si="3" ref="B21:K21">B19+B20</f>
        <v>258.955247</v>
      </c>
      <c r="C21" s="37">
        <f t="shared" si="3"/>
        <v>553.0639209999999</v>
      </c>
      <c r="D21" s="37">
        <f t="shared" si="3"/>
        <v>1506.680511</v>
      </c>
      <c r="E21" s="37">
        <f t="shared" si="3"/>
        <v>1364.2882949999996</v>
      </c>
      <c r="F21" s="37">
        <f t="shared" si="3"/>
        <v>537.598379</v>
      </c>
      <c r="G21" s="37">
        <f t="shared" si="3"/>
        <v>1156.679921</v>
      </c>
      <c r="H21" s="37">
        <f t="shared" si="3"/>
        <v>704.5626390000001</v>
      </c>
      <c r="I21" s="37">
        <f t="shared" si="3"/>
        <v>379.209948</v>
      </c>
      <c r="J21" s="37">
        <f t="shared" si="3"/>
        <v>1644.3773509999999</v>
      </c>
      <c r="K21" s="37">
        <f t="shared" si="3"/>
        <v>8105.416212000001</v>
      </c>
    </row>
    <row r="22" spans="1:11" ht="12.75">
      <c r="A22" s="33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2.75">
      <c r="A23" s="41" t="s">
        <v>31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12.75">
      <c r="A25" s="33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2.75">
      <c r="A26" s="33" t="s">
        <v>14</v>
      </c>
      <c r="B26" s="42">
        <v>42.065375</v>
      </c>
      <c r="C26" s="42">
        <v>84.77603599999999</v>
      </c>
      <c r="D26" s="42">
        <v>234.299877</v>
      </c>
      <c r="E26" s="42">
        <v>208.646695</v>
      </c>
      <c r="F26" s="42">
        <v>78.128369</v>
      </c>
      <c r="G26" s="42">
        <v>179.340948</v>
      </c>
      <c r="H26" s="42">
        <v>102.089196</v>
      </c>
      <c r="I26" s="42">
        <v>53.205698</v>
      </c>
      <c r="J26" s="42">
        <v>234.969514</v>
      </c>
      <c r="K26" s="37">
        <v>1217.5217079999998</v>
      </c>
    </row>
    <row r="27" spans="1:11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ht="12.75">
      <c r="A30" s="41" t="s">
        <v>15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2.75">
      <c r="A32" s="41" t="s">
        <v>16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2.75">
      <c r="A33" s="34" t="s">
        <v>14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2.75">
      <c r="A34" s="34"/>
      <c r="B34" s="6" t="s">
        <v>0</v>
      </c>
      <c r="C34" s="6" t="s">
        <v>1</v>
      </c>
      <c r="D34" s="6" t="s">
        <v>2</v>
      </c>
      <c r="E34" s="6" t="s">
        <v>3</v>
      </c>
      <c r="F34" s="6" t="s">
        <v>4</v>
      </c>
      <c r="G34" s="6" t="s">
        <v>5</v>
      </c>
      <c r="H34" s="6" t="s">
        <v>6</v>
      </c>
      <c r="I34" s="6" t="s">
        <v>7</v>
      </c>
      <c r="J34" s="6" t="s">
        <v>8</v>
      </c>
      <c r="K34" s="6" t="s">
        <v>9</v>
      </c>
    </row>
    <row r="35" spans="1:11" ht="12.75">
      <c r="A35" s="34" t="s">
        <v>29</v>
      </c>
      <c r="B35" s="42">
        <v>9.024803193491326</v>
      </c>
      <c r="C35" s="42">
        <v>30.608673825110703</v>
      </c>
      <c r="D35" s="42">
        <v>54.707240117032256</v>
      </c>
      <c r="E35" s="42">
        <v>52.55281604130059</v>
      </c>
      <c r="F35" s="42">
        <v>33.95919956161647</v>
      </c>
      <c r="G35" s="42">
        <v>47.145139556897206</v>
      </c>
      <c r="H35" s="42">
        <v>52.28261235287271</v>
      </c>
      <c r="I35" s="42">
        <v>17.332665933687334</v>
      </c>
      <c r="J35" s="42">
        <v>62.65843398850344</v>
      </c>
      <c r="K35" s="37">
        <v>360.27158457051206</v>
      </c>
    </row>
    <row r="36" spans="1:11" ht="12.75">
      <c r="A36" s="34" t="s">
        <v>10</v>
      </c>
      <c r="B36" s="42">
        <v>-0.03652770588137537</v>
      </c>
      <c r="C36" s="42">
        <v>-0.12388797970785527</v>
      </c>
      <c r="D36" s="42">
        <v>-0.2214264326581615</v>
      </c>
      <c r="E36" s="42">
        <v>-0.21270644538588385</v>
      </c>
      <c r="F36" s="42">
        <v>-0.1374491639272892</v>
      </c>
      <c r="G36" s="42">
        <v>-0.19081898569408076</v>
      </c>
      <c r="H36" s="42">
        <v>-0.21161280149722006</v>
      </c>
      <c r="I36" s="42">
        <v>-0.07015360997816605</v>
      </c>
      <c r="J36" s="42">
        <v>-0.25360872682191254</v>
      </c>
      <c r="K36" s="37">
        <v>-1.4581918515519445</v>
      </c>
    </row>
    <row r="37" spans="1:11" ht="12.75">
      <c r="A37" s="43" t="s">
        <v>11</v>
      </c>
      <c r="B37" s="37">
        <v>8.98827548760995</v>
      </c>
      <c r="C37" s="37">
        <v>30.484785845402847</v>
      </c>
      <c r="D37" s="37">
        <v>54.485813684374094</v>
      </c>
      <c r="E37" s="37">
        <v>52.340109595914704</v>
      </c>
      <c r="F37" s="37">
        <v>33.821750397689186</v>
      </c>
      <c r="G37" s="37">
        <v>46.95432057120313</v>
      </c>
      <c r="H37" s="37">
        <v>52.07099955137549</v>
      </c>
      <c r="I37" s="37">
        <v>17.262512323709167</v>
      </c>
      <c r="J37" s="37">
        <v>62.40482526168153</v>
      </c>
      <c r="K37" s="37">
        <v>358.81339271896013</v>
      </c>
    </row>
    <row r="38" spans="1:11" ht="12.75">
      <c r="A38" s="33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2.75">
      <c r="A39" s="41" t="s">
        <v>17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2.75">
      <c r="A40" s="34" t="s">
        <v>14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2.75">
      <c r="A41" s="34"/>
      <c r="B41" s="40" t="s">
        <v>0</v>
      </c>
      <c r="C41" s="40" t="s">
        <v>1</v>
      </c>
      <c r="D41" s="40" t="s">
        <v>2</v>
      </c>
      <c r="E41" s="40" t="s">
        <v>3</v>
      </c>
      <c r="F41" s="40" t="s">
        <v>4</v>
      </c>
      <c r="G41" s="40" t="s">
        <v>5</v>
      </c>
      <c r="H41" s="40" t="s">
        <v>6</v>
      </c>
      <c r="I41" s="40" t="s">
        <v>7</v>
      </c>
      <c r="J41" s="40" t="s">
        <v>8</v>
      </c>
      <c r="K41" s="40" t="s">
        <v>9</v>
      </c>
    </row>
    <row r="42" spans="1:11" ht="12.75">
      <c r="A42" s="34" t="s">
        <v>29</v>
      </c>
      <c r="B42" s="42">
        <v>0.06549089108959007</v>
      </c>
      <c r="C42" s="42">
        <v>0.5655526950872227</v>
      </c>
      <c r="D42" s="42">
        <v>8.031514279300488</v>
      </c>
      <c r="E42" s="42">
        <v>4.022694734045329</v>
      </c>
      <c r="F42" s="42">
        <v>2.7400722822822554</v>
      </c>
      <c r="G42" s="42">
        <v>1.3764187279846052</v>
      </c>
      <c r="H42" s="42">
        <v>0.597743133080411</v>
      </c>
      <c r="I42" s="42">
        <v>0.4423410186305364</v>
      </c>
      <c r="J42" s="42">
        <v>37.6589273991691</v>
      </c>
      <c r="K42" s="42">
        <v>55.50075516066954</v>
      </c>
    </row>
    <row r="43" spans="1:11" ht="12.75">
      <c r="A43" s="34" t="s">
        <v>10</v>
      </c>
      <c r="B43" s="42">
        <v>0.0014451163839798084</v>
      </c>
      <c r="C43" s="42">
        <v>0.012479437248096928</v>
      </c>
      <c r="D43" s="42">
        <v>0.17722270502179435</v>
      </c>
      <c r="E43" s="42">
        <v>0.08876443687360734</v>
      </c>
      <c r="F43" s="42">
        <v>0.060462199895833235</v>
      </c>
      <c r="G43" s="42">
        <v>0.030371937561609455</v>
      </c>
      <c r="H43" s="42">
        <v>0.013189748691069895</v>
      </c>
      <c r="I43" s="42">
        <v>0.009760658966372092</v>
      </c>
      <c r="J43" s="42">
        <v>0.8309786610354422</v>
      </c>
      <c r="K43" s="42">
        <v>1.2246749016778051</v>
      </c>
    </row>
    <row r="44" spans="1:11" ht="12.75">
      <c r="A44" s="43" t="s">
        <v>11</v>
      </c>
      <c r="B44" s="37">
        <v>0.06693600747356987</v>
      </c>
      <c r="C44" s="37">
        <v>0.5780321323353197</v>
      </c>
      <c r="D44" s="37">
        <v>8.208736984322282</v>
      </c>
      <c r="E44" s="37">
        <v>4.111459170918936</v>
      </c>
      <c r="F44" s="37">
        <v>2.8005344821780884</v>
      </c>
      <c r="G44" s="37">
        <v>1.4067906655462146</v>
      </c>
      <c r="H44" s="37">
        <v>0.610932881771481</v>
      </c>
      <c r="I44" s="37">
        <v>0.45210167759690845</v>
      </c>
      <c r="J44" s="37">
        <v>38.48990606020455</v>
      </c>
      <c r="K44" s="37">
        <v>56.72543006234735</v>
      </c>
    </row>
    <row r="45" spans="1:11" ht="12.75">
      <c r="A45" s="33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12.75">
      <c r="A46" s="41" t="s">
        <v>18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ht="12.75">
      <c r="A47" s="34" t="s">
        <v>14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ht="12.75">
      <c r="A48" s="34"/>
      <c r="B48" s="40" t="s">
        <v>0</v>
      </c>
      <c r="C48" s="40" t="s">
        <v>1</v>
      </c>
      <c r="D48" s="40" t="s">
        <v>2</v>
      </c>
      <c r="E48" s="40" t="s">
        <v>3</v>
      </c>
      <c r="F48" s="40" t="s">
        <v>4</v>
      </c>
      <c r="G48" s="40" t="s">
        <v>5</v>
      </c>
      <c r="H48" s="40" t="s">
        <v>6</v>
      </c>
      <c r="I48" s="40" t="s">
        <v>7</v>
      </c>
      <c r="J48" s="40" t="s">
        <v>8</v>
      </c>
      <c r="K48" s="40" t="s">
        <v>9</v>
      </c>
    </row>
    <row r="49" spans="1:11" ht="12.75">
      <c r="A49" s="34" t="s">
        <v>29</v>
      </c>
      <c r="B49" s="42">
        <v>1.2784723709040773</v>
      </c>
      <c r="C49" s="42">
        <v>2.5764287348075428</v>
      </c>
      <c r="D49" s="42">
        <v>7.120151176003925</v>
      </c>
      <c r="E49" s="42">
        <v>6.340851335912311</v>
      </c>
      <c r="F49" s="42">
        <v>2.3742558221056145</v>
      </c>
      <c r="G49" s="42">
        <v>5.450202548594404</v>
      </c>
      <c r="H49" s="42">
        <v>3.1024366659071076</v>
      </c>
      <c r="I49" s="42">
        <v>1.6169779608627188</v>
      </c>
      <c r="J49" s="42">
        <v>7.1407268253486675</v>
      </c>
      <c r="K49" s="42">
        <v>37.000503440446366</v>
      </c>
    </row>
    <row r="50" spans="1:11" ht="12.75">
      <c r="A50" s="34" t="s">
        <v>10</v>
      </c>
      <c r="B50" s="42">
        <v>0.028210661649596205</v>
      </c>
      <c r="C50" s="42">
        <v>0.05685125541708521</v>
      </c>
      <c r="D50" s="42">
        <v>0.15711264497501726</v>
      </c>
      <c r="E50" s="42">
        <v>0.13991668156373088</v>
      </c>
      <c r="F50" s="42">
        <v>0.05239012527086652</v>
      </c>
      <c r="G50" s="42">
        <v>0.12026370183615108</v>
      </c>
      <c r="H50" s="42">
        <v>0.06845810129578013</v>
      </c>
      <c r="I50" s="42">
        <v>0.03568009695547471</v>
      </c>
      <c r="J50" s="42">
        <v>0.15756666548816792</v>
      </c>
      <c r="K50" s="42">
        <v>0.8164499344518699</v>
      </c>
    </row>
    <row r="51" spans="1:11" ht="12.75">
      <c r="A51" s="43" t="s">
        <v>11</v>
      </c>
      <c r="B51" s="37">
        <v>1.3066830325536736</v>
      </c>
      <c r="C51" s="37">
        <v>2.633279990224628</v>
      </c>
      <c r="D51" s="37">
        <v>7.277263820978942</v>
      </c>
      <c r="E51" s="37">
        <v>6.480768017476042</v>
      </c>
      <c r="F51" s="37">
        <v>2.426645947376481</v>
      </c>
      <c r="G51" s="37">
        <v>5.570466250430555</v>
      </c>
      <c r="H51" s="37">
        <v>3.170894767202888</v>
      </c>
      <c r="I51" s="37">
        <v>1.6526580578181935</v>
      </c>
      <c r="J51" s="37">
        <v>7.298293490836835</v>
      </c>
      <c r="K51" s="37">
        <v>37.81695337489824</v>
      </c>
    </row>
    <row r="53" ht="12.75">
      <c r="A53" s="44"/>
    </row>
    <row r="54" spans="1:11" ht="12.75">
      <c r="A54" s="34"/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2.75">
      <c r="A55" s="34"/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12.75">
      <c r="A56" s="34"/>
      <c r="B56" s="42"/>
      <c r="C56" s="42"/>
      <c r="D56" s="42"/>
      <c r="E56" s="42"/>
      <c r="F56" s="42"/>
      <c r="G56" s="42"/>
      <c r="H56" s="42"/>
      <c r="I56" s="42"/>
      <c r="J56" s="42"/>
      <c r="K56" s="37"/>
    </row>
    <row r="57" spans="1:11" ht="12.75">
      <c r="A57" s="34"/>
      <c r="B57" s="42"/>
      <c r="C57" s="42"/>
      <c r="D57" s="42"/>
      <c r="E57" s="42"/>
      <c r="F57" s="42"/>
      <c r="G57" s="42"/>
      <c r="H57" s="42"/>
      <c r="I57" s="42"/>
      <c r="J57" s="42"/>
      <c r="K57" s="37"/>
    </row>
    <row r="58" spans="1:11" ht="12.75">
      <c r="A58" s="43"/>
      <c r="B58" s="37"/>
      <c r="C58" s="37"/>
      <c r="D58" s="37"/>
      <c r="E58" s="37"/>
      <c r="F58" s="37"/>
      <c r="G58" s="37"/>
      <c r="H58" s="37"/>
      <c r="I58" s="37"/>
      <c r="J58" s="37"/>
      <c r="K58" s="37"/>
    </row>
  </sheetData>
  <sheetProtection/>
  <printOptions/>
  <pageMargins left="0.62" right="0.55" top="0.984251969" bottom="0.984251969" header="0.4921259845" footer="0.4921259845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30" customWidth="1"/>
    <col min="2" max="10" width="8.57421875" style="30" customWidth="1"/>
    <col min="11" max="11" width="9.140625" style="30" customWidth="1"/>
    <col min="12" max="16384" width="11.421875" style="30" customWidth="1"/>
  </cols>
  <sheetData>
    <row r="1" ht="15.75">
      <c r="A1" s="29" t="s">
        <v>78</v>
      </c>
    </row>
    <row r="2" ht="12.75">
      <c r="A2" s="45"/>
    </row>
    <row r="5" spans="1:11" ht="12.75">
      <c r="A5" s="32" t="s">
        <v>58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34"/>
      <c r="B7" s="35" t="s">
        <v>0</v>
      </c>
      <c r="C7" s="35" t="s">
        <v>1</v>
      </c>
      <c r="D7" s="35" t="s">
        <v>2</v>
      </c>
      <c r="E7" s="35" t="s">
        <v>3</v>
      </c>
      <c r="F7" s="35" t="s">
        <v>4</v>
      </c>
      <c r="G7" s="35" t="s">
        <v>5</v>
      </c>
      <c r="H7" s="35" t="s">
        <v>6</v>
      </c>
      <c r="I7" s="35" t="s">
        <v>7</v>
      </c>
      <c r="J7" s="35" t="s">
        <v>8</v>
      </c>
      <c r="K7" s="35" t="s">
        <v>9</v>
      </c>
    </row>
    <row r="8" spans="1:11" ht="12.75">
      <c r="A8" s="34" t="s">
        <v>59</v>
      </c>
      <c r="B8" s="26">
        <v>204.4816142406816</v>
      </c>
      <c r="C8" s="26">
        <v>509.80651720301455</v>
      </c>
      <c r="D8" s="26">
        <v>1286.072397060224</v>
      </c>
      <c r="E8" s="26">
        <v>1238.4663067902995</v>
      </c>
      <c r="F8" s="26">
        <v>548.685735609127</v>
      </c>
      <c r="G8" s="26">
        <v>1003.3444724873331</v>
      </c>
      <c r="H8" s="26">
        <v>670.1075370041492</v>
      </c>
      <c r="I8" s="26">
        <v>358.88123239255833</v>
      </c>
      <c r="J8" s="26">
        <v>1969.6997569663233</v>
      </c>
      <c r="K8" s="27">
        <v>7789.545569753711</v>
      </c>
    </row>
    <row r="9" spans="1:11" ht="12.75">
      <c r="A9" s="34" t="s">
        <v>10</v>
      </c>
      <c r="B9" s="26">
        <v>2.5849588924208655</v>
      </c>
      <c r="C9" s="26">
        <v>7.800862096654426</v>
      </c>
      <c r="D9" s="26">
        <v>18.102403686551146</v>
      </c>
      <c r="E9" s="26">
        <v>18.676955260609045</v>
      </c>
      <c r="F9" s="26">
        <v>8.016279101158434</v>
      </c>
      <c r="G9" s="26">
        <v>14.585975168612437</v>
      </c>
      <c r="H9" s="26">
        <v>10.084046670369803</v>
      </c>
      <c r="I9" s="26">
        <v>4.232240655982867</v>
      </c>
      <c r="J9" s="26">
        <v>25.461595815423642</v>
      </c>
      <c r="K9" s="27">
        <v>109.54531734778267</v>
      </c>
    </row>
    <row r="10" spans="1:11" ht="12.75">
      <c r="A10" s="36" t="s">
        <v>11</v>
      </c>
      <c r="B10" s="37">
        <v>207.06657313310248</v>
      </c>
      <c r="C10" s="37">
        <v>517.607379299669</v>
      </c>
      <c r="D10" s="37">
        <v>1304.174800746775</v>
      </c>
      <c r="E10" s="37">
        <v>1257.1432620509086</v>
      </c>
      <c r="F10" s="37">
        <v>556.7020147102855</v>
      </c>
      <c r="G10" s="37">
        <v>1017.9304476559455</v>
      </c>
      <c r="H10" s="37">
        <v>680.191583674519</v>
      </c>
      <c r="I10" s="37">
        <v>363.1134730485412</v>
      </c>
      <c r="J10" s="37">
        <v>1995.161352781747</v>
      </c>
      <c r="K10" s="37">
        <v>7899.0908871014935</v>
      </c>
    </row>
    <row r="11" spans="1:11" ht="12.75">
      <c r="A11" s="36" t="s">
        <v>12</v>
      </c>
      <c r="B11" s="26">
        <v>0</v>
      </c>
      <c r="C11" s="26">
        <v>1.3805560000000001</v>
      </c>
      <c r="D11" s="26">
        <v>1.277348</v>
      </c>
      <c r="E11" s="26">
        <v>1.413116</v>
      </c>
      <c r="F11" s="26">
        <v>1.114283</v>
      </c>
      <c r="G11" s="26">
        <v>1.005135</v>
      </c>
      <c r="H11" s="26">
        <v>3.5876289999999997</v>
      </c>
      <c r="I11" s="26">
        <v>2.608303</v>
      </c>
      <c r="J11" s="26">
        <v>3.364836</v>
      </c>
      <c r="K11" s="27">
        <v>15.751205999999998</v>
      </c>
    </row>
    <row r="12" spans="1:11" ht="12.75">
      <c r="A12" s="32" t="s">
        <v>11</v>
      </c>
      <c r="B12" s="37">
        <v>207.06657313310248</v>
      </c>
      <c r="C12" s="37">
        <v>518.987935299669</v>
      </c>
      <c r="D12" s="37">
        <v>1305.452148746775</v>
      </c>
      <c r="E12" s="37">
        <v>1258.5563780509085</v>
      </c>
      <c r="F12" s="37">
        <v>557.8162977102855</v>
      </c>
      <c r="G12" s="37">
        <v>1018.9355826559455</v>
      </c>
      <c r="H12" s="37">
        <v>683.779212674519</v>
      </c>
      <c r="I12" s="37">
        <v>365.7217760485412</v>
      </c>
      <c r="J12" s="37">
        <v>1998.526188781747</v>
      </c>
      <c r="K12" s="37">
        <v>7914.842093101493</v>
      </c>
    </row>
    <row r="13" spans="1:11" ht="12.75">
      <c r="A13" s="34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>
      <c r="A14" s="32" t="s">
        <v>60</v>
      </c>
      <c r="B14" s="38"/>
      <c r="C14" s="38"/>
      <c r="D14" s="38"/>
      <c r="E14" s="38"/>
      <c r="F14" s="38"/>
      <c r="G14" s="38"/>
      <c r="H14" s="38"/>
      <c r="I14" s="38"/>
      <c r="J14" s="38"/>
      <c r="K14" s="39"/>
    </row>
    <row r="15" spans="1:11" ht="12.75">
      <c r="A15" s="32"/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spans="1:11" ht="12.75">
      <c r="A16" s="34"/>
      <c r="B16" s="40" t="s">
        <v>0</v>
      </c>
      <c r="C16" s="40" t="s">
        <v>1</v>
      </c>
      <c r="D16" s="40" t="s">
        <v>2</v>
      </c>
      <c r="E16" s="40" t="s">
        <v>3</v>
      </c>
      <c r="F16" s="40" t="s">
        <v>4</v>
      </c>
      <c r="G16" s="40" t="s">
        <v>5</v>
      </c>
      <c r="H16" s="40" t="s">
        <v>6</v>
      </c>
      <c r="I16" s="40" t="s">
        <v>7</v>
      </c>
      <c r="J16" s="40" t="s">
        <v>8</v>
      </c>
      <c r="K16" s="40" t="s">
        <v>9</v>
      </c>
    </row>
    <row r="17" spans="1:11" ht="12.75">
      <c r="A17" s="34" t="s">
        <v>59</v>
      </c>
      <c r="B17" s="26">
        <v>335.7369086046633</v>
      </c>
      <c r="C17" s="26">
        <v>686.0413436482445</v>
      </c>
      <c r="D17" s="26">
        <v>1858.3165602811462</v>
      </c>
      <c r="E17" s="26">
        <v>1618.8362549675053</v>
      </c>
      <c r="F17" s="26">
        <v>651.0938836752252</v>
      </c>
      <c r="G17" s="26">
        <v>1413.2467568151917</v>
      </c>
      <c r="H17" s="26">
        <v>844.9212175219717</v>
      </c>
      <c r="I17" s="26">
        <v>451.8175568028636</v>
      </c>
      <c r="J17" s="26">
        <v>1899.3195486638633</v>
      </c>
      <c r="K17" s="27">
        <v>9759.330030980675</v>
      </c>
    </row>
    <row r="18" spans="1:11" ht="12.75">
      <c r="A18" s="34" t="s">
        <v>10</v>
      </c>
      <c r="B18" s="26">
        <v>7.46142405140365</v>
      </c>
      <c r="C18" s="26">
        <v>15.884890528149553</v>
      </c>
      <c r="D18" s="26">
        <v>43.634764749257826</v>
      </c>
      <c r="E18" s="26">
        <v>39.669658046300526</v>
      </c>
      <c r="F18" s="26">
        <v>15.21023229191918</v>
      </c>
      <c r="G18" s="26">
        <v>33.26451636709017</v>
      </c>
      <c r="H18" s="26">
        <v>20.50896135240083</v>
      </c>
      <c r="I18" s="26">
        <v>10.862072054554476</v>
      </c>
      <c r="J18" s="26">
        <v>47.24072530424409</v>
      </c>
      <c r="K18" s="27">
        <v>233.73724474532028</v>
      </c>
    </row>
    <row r="19" spans="1:11" ht="12.75">
      <c r="A19" s="36" t="s">
        <v>11</v>
      </c>
      <c r="B19" s="37">
        <v>343.19833265606695</v>
      </c>
      <c r="C19" s="37">
        <v>701.926234176394</v>
      </c>
      <c r="D19" s="37">
        <v>1901.951325030404</v>
      </c>
      <c r="E19" s="37">
        <v>1658.5059130138059</v>
      </c>
      <c r="F19" s="37">
        <v>666.3041159671444</v>
      </c>
      <c r="G19" s="37">
        <v>1446.511273182282</v>
      </c>
      <c r="H19" s="37">
        <v>865.4301788743726</v>
      </c>
      <c r="I19" s="37">
        <v>462.67962885741804</v>
      </c>
      <c r="J19" s="37">
        <v>1946.5602739681074</v>
      </c>
      <c r="K19" s="37">
        <v>9993.067275725994</v>
      </c>
    </row>
    <row r="20" spans="1:11" ht="12.75">
      <c r="A20" s="36" t="s">
        <v>12</v>
      </c>
      <c r="B20" s="26">
        <v>0</v>
      </c>
      <c r="C20" s="26">
        <v>1.1644459999999999</v>
      </c>
      <c r="D20" s="26">
        <v>1.05357</v>
      </c>
      <c r="E20" s="26">
        <v>1.198081</v>
      </c>
      <c r="F20" s="26">
        <v>0.7981130000000001</v>
      </c>
      <c r="G20" s="26">
        <v>0.767259</v>
      </c>
      <c r="H20" s="26">
        <v>2.9106</v>
      </c>
      <c r="I20" s="26">
        <v>2.159371</v>
      </c>
      <c r="J20" s="26">
        <v>3.245416</v>
      </c>
      <c r="K20" s="27">
        <v>13.296856</v>
      </c>
    </row>
    <row r="21" spans="1:11" ht="12.75">
      <c r="A21" s="32" t="s">
        <v>11</v>
      </c>
      <c r="B21" s="37">
        <v>343.19833265606695</v>
      </c>
      <c r="C21" s="37">
        <v>703.090680176394</v>
      </c>
      <c r="D21" s="37">
        <v>1903.004895030404</v>
      </c>
      <c r="E21" s="37">
        <v>1659.7039940138059</v>
      </c>
      <c r="F21" s="37">
        <v>667.1022289671444</v>
      </c>
      <c r="G21" s="37">
        <v>1447.2785321822819</v>
      </c>
      <c r="H21" s="37">
        <v>868.3407788743726</v>
      </c>
      <c r="I21" s="37">
        <v>464.83899985741806</v>
      </c>
      <c r="J21" s="37">
        <v>1949.8056899681073</v>
      </c>
      <c r="K21" s="37">
        <v>10006.364131725995</v>
      </c>
    </row>
    <row r="22" spans="1:11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2.75">
      <c r="A23" s="41" t="s">
        <v>31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12.75">
      <c r="A25" s="33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2.75">
      <c r="A26" s="33" t="s">
        <v>14</v>
      </c>
      <c r="B26" s="42">
        <v>50.710630209660124</v>
      </c>
      <c r="C26" s="42">
        <v>102.19409336157688</v>
      </c>
      <c r="D26" s="42">
        <v>282.4209279296989</v>
      </c>
      <c r="E26" s="42">
        <v>251.50998537613614</v>
      </c>
      <c r="F26" s="42">
        <v>94.17490104443088</v>
      </c>
      <c r="G26" s="42">
        <v>216.18238477384728</v>
      </c>
      <c r="H26" s="42">
        <v>123.05820766580358</v>
      </c>
      <c r="I26" s="42">
        <v>64.13746068872369</v>
      </c>
      <c r="J26" s="42">
        <v>283.23706144106063</v>
      </c>
      <c r="K26" s="37">
        <v>1467.625652490938</v>
      </c>
    </row>
    <row r="27" spans="1:11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ht="12.75">
      <c r="A30" s="41" t="s">
        <v>15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2.75">
      <c r="A32" s="41" t="s">
        <v>16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2.75">
      <c r="A33" s="34" t="s">
        <v>14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2.75">
      <c r="A34" s="34"/>
      <c r="B34" s="6" t="s">
        <v>0</v>
      </c>
      <c r="C34" s="6" t="s">
        <v>1</v>
      </c>
      <c r="D34" s="6" t="s">
        <v>2</v>
      </c>
      <c r="E34" s="6" t="s">
        <v>3</v>
      </c>
      <c r="F34" s="6" t="s">
        <v>4</v>
      </c>
      <c r="G34" s="6" t="s">
        <v>5</v>
      </c>
      <c r="H34" s="6" t="s">
        <v>6</v>
      </c>
      <c r="I34" s="6" t="s">
        <v>7</v>
      </c>
      <c r="J34" s="6" t="s">
        <v>8</v>
      </c>
      <c r="K34" s="6" t="s">
        <v>9</v>
      </c>
    </row>
    <row r="35" spans="1:11" ht="12.75">
      <c r="A35" s="34" t="s">
        <v>59</v>
      </c>
      <c r="B35" s="42">
        <v>9.401819008185162</v>
      </c>
      <c r="C35" s="42">
        <v>31.887366983449557</v>
      </c>
      <c r="D35" s="42">
        <v>56.99266332905855</v>
      </c>
      <c r="E35" s="42">
        <v>54.748237074809154</v>
      </c>
      <c r="F35" s="42">
        <v>35.37786266313506</v>
      </c>
      <c r="G35" s="42">
        <v>49.11465211221998</v>
      </c>
      <c r="H35" s="42">
        <v>54.46674548773775</v>
      </c>
      <c r="I35" s="42">
        <v>18.056747005340842</v>
      </c>
      <c r="J35" s="42">
        <v>65.27602243127997</v>
      </c>
      <c r="K35" s="37">
        <v>375.322116095216</v>
      </c>
    </row>
    <row r="36" spans="1:11" ht="12.75">
      <c r="A36" s="34" t="s">
        <v>10</v>
      </c>
      <c r="B36" s="42">
        <v>0.06460521483614139</v>
      </c>
      <c r="C36" s="42">
        <v>0.2191161298394727</v>
      </c>
      <c r="D36" s="42">
        <v>0.39162881728017235</v>
      </c>
      <c r="E36" s="42">
        <v>0.3762060953352557</v>
      </c>
      <c r="F36" s="42">
        <v>0.24310129941935157</v>
      </c>
      <c r="G36" s="42">
        <v>0.337494547443428</v>
      </c>
      <c r="H36" s="42">
        <v>0.37427180746590605</v>
      </c>
      <c r="I36" s="42">
        <v>0.12407811919228698</v>
      </c>
      <c r="J36" s="42">
        <v>0.44854846164878837</v>
      </c>
      <c r="K36" s="37">
        <v>2.579050492460803</v>
      </c>
    </row>
    <row r="37" spans="1:11" ht="12.75">
      <c r="A37" s="43" t="s">
        <v>11</v>
      </c>
      <c r="B37" s="37">
        <v>9.466424223021304</v>
      </c>
      <c r="C37" s="37">
        <v>32.10648311328903</v>
      </c>
      <c r="D37" s="37">
        <v>57.38429214633872</v>
      </c>
      <c r="E37" s="37">
        <v>55.12444317014441</v>
      </c>
      <c r="F37" s="37">
        <v>35.62096396255441</v>
      </c>
      <c r="G37" s="37">
        <v>49.452146659663406</v>
      </c>
      <c r="H37" s="37">
        <v>54.841017295203656</v>
      </c>
      <c r="I37" s="37">
        <v>18.18082512453313</v>
      </c>
      <c r="J37" s="37">
        <v>65.72457089292875</v>
      </c>
      <c r="K37" s="37">
        <v>377.90116658767687</v>
      </c>
    </row>
    <row r="38" spans="1:11" ht="12.75">
      <c r="A38" s="33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2.75">
      <c r="A39" s="41" t="s">
        <v>17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2.75">
      <c r="A40" s="34" t="s">
        <v>14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2.75">
      <c r="A41" s="34"/>
      <c r="B41" s="40" t="s">
        <v>0</v>
      </c>
      <c r="C41" s="40" t="s">
        <v>1</v>
      </c>
      <c r="D41" s="40" t="s">
        <v>2</v>
      </c>
      <c r="E41" s="40" t="s">
        <v>3</v>
      </c>
      <c r="F41" s="40" t="s">
        <v>4</v>
      </c>
      <c r="G41" s="40" t="s">
        <v>5</v>
      </c>
      <c r="H41" s="40" t="s">
        <v>6</v>
      </c>
      <c r="I41" s="40" t="s">
        <v>7</v>
      </c>
      <c r="J41" s="40" t="s">
        <v>8</v>
      </c>
      <c r="K41" s="40" t="s">
        <v>9</v>
      </c>
    </row>
    <row r="42" spans="1:11" ht="12.75">
      <c r="A42" s="34" t="s">
        <v>59</v>
      </c>
      <c r="B42" s="42">
        <v>0.06966918531054267</v>
      </c>
      <c r="C42" s="42">
        <v>0.6016347443342626</v>
      </c>
      <c r="D42" s="42">
        <v>8.543921869736126</v>
      </c>
      <c r="E42" s="42">
        <v>4.279341145176386</v>
      </c>
      <c r="F42" s="42">
        <v>2.914887863374147</v>
      </c>
      <c r="G42" s="42">
        <v>1.4642337251707271</v>
      </c>
      <c r="H42" s="42">
        <v>0.6358789201648685</v>
      </c>
      <c r="I42" s="42">
        <v>0.4705622092584959</v>
      </c>
      <c r="J42" s="42">
        <v>40.06155280403604</v>
      </c>
      <c r="K42" s="42">
        <v>59.041682466561596</v>
      </c>
    </row>
    <row r="43" spans="1:11" ht="12.75">
      <c r="A43" s="34" t="s">
        <v>10</v>
      </c>
      <c r="B43" s="42">
        <v>0.00031942763982596034</v>
      </c>
      <c r="C43" s="42">
        <v>0.0027584471608699916</v>
      </c>
      <c r="D43" s="42">
        <v>0.03917319810103072</v>
      </c>
      <c r="E43" s="42">
        <v>0.01962043672422578</v>
      </c>
      <c r="F43" s="42">
        <v>0.013364527608651314</v>
      </c>
      <c r="G43" s="42">
        <v>0.006713394464138673</v>
      </c>
      <c r="H43" s="42">
        <v>0.002915453966886048</v>
      </c>
      <c r="I43" s="42">
        <v>0.002157490075773637</v>
      </c>
      <c r="J43" s="42">
        <v>0.18367901394162617</v>
      </c>
      <c r="K43" s="42">
        <v>0.27070138968302826</v>
      </c>
    </row>
    <row r="44" spans="1:11" ht="12.75">
      <c r="A44" s="43" t="s">
        <v>11</v>
      </c>
      <c r="B44" s="37">
        <v>0.06998861295036864</v>
      </c>
      <c r="C44" s="37">
        <v>0.6043931914951326</v>
      </c>
      <c r="D44" s="37">
        <v>8.583095067837156</v>
      </c>
      <c r="E44" s="37">
        <v>4.2989615819006115</v>
      </c>
      <c r="F44" s="37">
        <v>2.928252390982798</v>
      </c>
      <c r="G44" s="37">
        <v>1.4709471196348658</v>
      </c>
      <c r="H44" s="37">
        <v>0.6387943741317545</v>
      </c>
      <c r="I44" s="37">
        <v>0.47271969933426955</v>
      </c>
      <c r="J44" s="37">
        <v>40.24523181797767</v>
      </c>
      <c r="K44" s="37">
        <v>59.31238385624462</v>
      </c>
    </row>
    <row r="45" spans="1:11" ht="12.75">
      <c r="A45" s="33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12.75">
      <c r="A46" s="41" t="s">
        <v>18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ht="12.75">
      <c r="A47" s="34" t="s">
        <v>14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ht="12.75">
      <c r="A48" s="34"/>
      <c r="B48" s="40" t="s">
        <v>0</v>
      </c>
      <c r="C48" s="40" t="s">
        <v>1</v>
      </c>
      <c r="D48" s="40" t="s">
        <v>2</v>
      </c>
      <c r="E48" s="40" t="s">
        <v>3</v>
      </c>
      <c r="F48" s="40" t="s">
        <v>4</v>
      </c>
      <c r="G48" s="40" t="s">
        <v>5</v>
      </c>
      <c r="H48" s="40" t="s">
        <v>6</v>
      </c>
      <c r="I48" s="40" t="s">
        <v>7</v>
      </c>
      <c r="J48" s="40" t="s">
        <v>8</v>
      </c>
      <c r="K48" s="40" t="s">
        <v>9</v>
      </c>
    </row>
    <row r="49" spans="1:11" ht="12.75">
      <c r="A49" s="34" t="s">
        <v>59</v>
      </c>
      <c r="B49" s="42">
        <v>1.3600384273452484</v>
      </c>
      <c r="C49" s="42">
        <v>2.7408039191154834</v>
      </c>
      <c r="D49" s="42">
        <v>7.574414143205099</v>
      </c>
      <c r="E49" s="42">
        <v>6.745395266403635</v>
      </c>
      <c r="F49" s="42">
        <v>2.525732450618673</v>
      </c>
      <c r="G49" s="42">
        <v>5.7979234214202275</v>
      </c>
      <c r="H49" s="42">
        <v>3.300370958392122</v>
      </c>
      <c r="I49" s="42">
        <v>1.7201405466341984</v>
      </c>
      <c r="J49" s="42">
        <v>7.596302511239712</v>
      </c>
      <c r="K49" s="42">
        <v>39.3611216443744</v>
      </c>
    </row>
    <row r="50" spans="1:11" ht="12.75">
      <c r="A50" s="34" t="s">
        <v>10</v>
      </c>
      <c r="B50" s="42">
        <v>0.006235667361159131</v>
      </c>
      <c r="C50" s="42">
        <v>0.012566366654159083</v>
      </c>
      <c r="D50" s="42">
        <v>0.03472808275342686</v>
      </c>
      <c r="E50" s="42">
        <v>0.03092709754012958</v>
      </c>
      <c r="F50" s="42">
        <v>0.011580281180794372</v>
      </c>
      <c r="G50" s="42">
        <v>0.02658301494614625</v>
      </c>
      <c r="H50" s="42">
        <v>0.01513193675353341</v>
      </c>
      <c r="I50" s="42">
        <v>0.007886706763272059</v>
      </c>
      <c r="J50" s="42">
        <v>0.03482843916939237</v>
      </c>
      <c r="K50" s="42">
        <v>0.1804675931220131</v>
      </c>
    </row>
    <row r="51" spans="1:11" ht="12.75">
      <c r="A51" s="43" t="s">
        <v>11</v>
      </c>
      <c r="B51" s="37">
        <v>1.3662740947064076</v>
      </c>
      <c r="C51" s="37">
        <v>2.7533702857696425</v>
      </c>
      <c r="D51" s="37">
        <v>7.609142225958526</v>
      </c>
      <c r="E51" s="37">
        <v>6.776322363943765</v>
      </c>
      <c r="F51" s="37">
        <v>2.5373127317994677</v>
      </c>
      <c r="G51" s="37">
        <v>5.824506436366374</v>
      </c>
      <c r="H51" s="37">
        <v>3.3155028951456553</v>
      </c>
      <c r="I51" s="37">
        <v>1.7280272533974703</v>
      </c>
      <c r="J51" s="37">
        <v>7.631130950409104</v>
      </c>
      <c r="K51" s="37">
        <v>39.54158923749641</v>
      </c>
    </row>
    <row r="53" spans="1:11" ht="12.75">
      <c r="A53" s="15" t="s">
        <v>61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4" t="s">
        <v>14</v>
      </c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4" t="s">
        <v>62</v>
      </c>
      <c r="B55" s="4"/>
      <c r="C55" s="4"/>
      <c r="D55" s="46">
        <v>0.08018301877040557</v>
      </c>
      <c r="E55" s="4"/>
      <c r="F55" s="4"/>
      <c r="G55" s="4"/>
      <c r="H55" s="4"/>
      <c r="I55" s="4"/>
      <c r="J55" s="4"/>
      <c r="K55" s="4"/>
    </row>
    <row r="56" spans="1:11" ht="12.75">
      <c r="A56" s="4"/>
      <c r="B56" s="14" t="s">
        <v>0</v>
      </c>
      <c r="C56" s="14" t="s">
        <v>1</v>
      </c>
      <c r="D56" s="14" t="s">
        <v>2</v>
      </c>
      <c r="E56" s="14" t="s">
        <v>3</v>
      </c>
      <c r="F56" s="14" t="s">
        <v>4</v>
      </c>
      <c r="G56" s="14" t="s">
        <v>5</v>
      </c>
      <c r="H56" s="14" t="s">
        <v>6</v>
      </c>
      <c r="I56" s="14" t="s">
        <v>7</v>
      </c>
      <c r="J56" s="14" t="s">
        <v>8</v>
      </c>
      <c r="K56" s="14" t="s">
        <v>9</v>
      </c>
    </row>
    <row r="57" spans="1:11" s="45" customFormat="1" ht="12.75">
      <c r="A57" s="47" t="s">
        <v>63</v>
      </c>
      <c r="B57" s="16">
        <v>3.2260302</v>
      </c>
      <c r="C57" s="16">
        <v>12.25946253</v>
      </c>
      <c r="D57" s="16">
        <v>27.35708069</v>
      </c>
      <c r="E57" s="16">
        <v>26.405468920000004</v>
      </c>
      <c r="F57" s="16">
        <v>11.24278818</v>
      </c>
      <c r="G57" s="16">
        <v>21.2448453</v>
      </c>
      <c r="H57" s="16">
        <v>12.180922330000001</v>
      </c>
      <c r="I57" s="16">
        <v>8.649725110000002</v>
      </c>
      <c r="J57" s="16">
        <v>0</v>
      </c>
      <c r="K57" s="16">
        <v>122.56632326000002</v>
      </c>
    </row>
    <row r="58" spans="1:11" ht="12.75">
      <c r="A58" s="43"/>
      <c r="B58" s="37"/>
      <c r="C58" s="37"/>
      <c r="D58" s="37"/>
      <c r="E58" s="37"/>
      <c r="F58" s="37"/>
      <c r="G58" s="37"/>
      <c r="H58" s="37"/>
      <c r="I58" s="37"/>
      <c r="J58" s="37"/>
      <c r="K58" s="37"/>
    </row>
  </sheetData>
  <sheetProtection/>
  <printOptions/>
  <pageMargins left="0.62" right="0.55" top="0.984251969" bottom="0.984251969" header="0.4921259845" footer="0.492125984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BRZ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STURMLECHNER</dc:creator>
  <cp:keywords/>
  <dc:description/>
  <cp:lastModifiedBy>Martina Schaffer</cp:lastModifiedBy>
  <cp:lastPrinted>2016-04-05T06:04:30Z</cp:lastPrinted>
  <dcterms:created xsi:type="dcterms:W3CDTF">2003-11-20T11:17:29Z</dcterms:created>
  <dcterms:modified xsi:type="dcterms:W3CDTF">2016-04-28T12:21:15Z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COO.3000.109.7.3750721</vt:lpwstr>
  </property>
  <property fmtid="{D5CDD505-2E9C-101B-9397-08002B2CF9AE}" pid="3" name="FSC#COOELAK@1.1001:Subject">
    <vt:lpwstr>Kassenmäßige Ertragsanteile der Länder und Gemeinden bis 2020 (Stand: April 2016), Aussendung einer Prognose an die Finanzausgleichspartner</vt:lpwstr>
  </property>
  <property fmtid="{D5CDD505-2E9C-101B-9397-08002B2CF9AE}" pid="4" name="FSC#COOELAK@1.1001:FileReference">
    <vt:lpwstr>BMF-111103/0008-II/3/2016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8</vt:lpwstr>
  </property>
  <property fmtid="{D5CDD505-2E9C-101B-9397-08002B2CF9AE}" pid="7" name="FSC#COOELAK@1.1001:FileRefOU">
    <vt:lpwstr>II/3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Mag. Christian Sturmlechner</vt:lpwstr>
  </property>
  <property fmtid="{D5CDD505-2E9C-101B-9397-08002B2CF9AE}" pid="10" name="FSC#COOELAK@1.1001:OwnerExtension">
    <vt:lpwstr>+43 1 51433 502084</vt:lpwstr>
  </property>
  <property fmtid="{D5CDD505-2E9C-101B-9397-08002B2CF9AE}" pid="11" name="FSC#COOELAK@1.1001:OwnerFaxExtension">
    <vt:lpwstr>+43 1514335902084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BMF - II/3 (II/3)</vt:lpwstr>
  </property>
  <property fmtid="{D5CDD505-2E9C-101B-9397-08002B2CF9AE}" pid="17" name="FSC#COOELAK@1.1001:CreatedAt">
    <vt:lpwstr>27.04.2016</vt:lpwstr>
  </property>
  <property fmtid="{D5CDD505-2E9C-101B-9397-08002B2CF9AE}" pid="18" name="FSC#COOELAK@1.1001:OU">
    <vt:lpwstr>BMF - II/3 (II/3)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*COO.3000.109.7.3750721*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>*BMF-111103/0008-II/3/2016*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Sturmlechner, Christian Mag.</vt:lpwstr>
  </property>
  <property fmtid="{D5CDD505-2E9C-101B-9397-08002B2CF9AE}" pid="27" name="FSC#COOELAK@1.1001:ProcessResponsiblePhone">
    <vt:lpwstr>+43 1 51433 502084</vt:lpwstr>
  </property>
  <property fmtid="{D5CDD505-2E9C-101B-9397-08002B2CF9AE}" pid="28" name="FSC#COOELAK@1.1001:ProcessResponsibleMail">
    <vt:lpwstr>Christian.Sturmlechner@bmf.gv.at</vt:lpwstr>
  </property>
  <property fmtid="{D5CDD505-2E9C-101B-9397-08002B2CF9AE}" pid="29" name="FSC#COOELAK@1.1001:ProcessResponsibleFax">
    <vt:lpwstr>+43 1514335902084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111103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IBPRECONFIG@1.1001:EIBInternalApprovedAt">
    <vt:lpwstr/>
  </property>
  <property fmtid="{D5CDD505-2E9C-101B-9397-08002B2CF9AE}" pid="42" name="FSC#EIBPRECONFIG@1.1001:EIBInternalApprovedBy">
    <vt:lpwstr/>
  </property>
  <property fmtid="{D5CDD505-2E9C-101B-9397-08002B2CF9AE}" pid="43" name="FSC#EIBPRECONFIG@1.1001:EIBSettlementApprovedBy">
    <vt:lpwstr/>
  </property>
  <property fmtid="{D5CDD505-2E9C-101B-9397-08002B2CF9AE}" pid="44" name="FSC#EIBPRECONFIG@1.1001:EIBApprovedAt">
    <vt:lpwstr>27.04.2016</vt:lpwstr>
  </property>
  <property fmtid="{D5CDD505-2E9C-101B-9397-08002B2CF9AE}" pid="45" name="FSC#EIBPRECONFIG@1.1001:EIBApprovedBy">
    <vt:lpwstr>Sturmlechner</vt:lpwstr>
  </property>
  <property fmtid="{D5CDD505-2E9C-101B-9397-08002B2CF9AE}" pid="46" name="FSC#EIBPRECONFIG@1.1001:EIBApprovedBySubst">
    <vt:lpwstr/>
  </property>
  <property fmtid="{D5CDD505-2E9C-101B-9397-08002B2CF9AE}" pid="47" name="FSC#EIBPRECONFIG@1.1001:EIBApprovedByTitle">
    <vt:lpwstr>Mag. Christian Sturmlechner</vt:lpwstr>
  </property>
  <property fmtid="{D5CDD505-2E9C-101B-9397-08002B2CF9AE}" pid="48" name="FSC#EIBPRECONFIG@1.1001:EIBDepartment">
    <vt:lpwstr>BMF - II/3 (II/3)</vt:lpwstr>
  </property>
  <property fmtid="{D5CDD505-2E9C-101B-9397-08002B2CF9AE}" pid="49" name="FSC#EIBPRECONFIG@1.1001:EIBDispatchedBy">
    <vt:lpwstr/>
  </property>
  <property fmtid="{D5CDD505-2E9C-101B-9397-08002B2CF9AE}" pid="50" name="FSC#EIBPRECONFIG@1.1001:ExtRefInc">
    <vt:lpwstr/>
  </property>
  <property fmtid="{D5CDD505-2E9C-101B-9397-08002B2CF9AE}" pid="51" name="FSC#EIBPRECONFIG@1.1001:IncomingAddrdate">
    <vt:lpwstr/>
  </property>
  <property fmtid="{D5CDD505-2E9C-101B-9397-08002B2CF9AE}" pid="52" name="FSC#EIBPRECONFIG@1.1001:IncomingDelivery">
    <vt:lpwstr/>
  </property>
  <property fmtid="{D5CDD505-2E9C-101B-9397-08002B2CF9AE}" pid="53" name="FSC#EIBPRECONFIG@1.1001:OwnerEmail">
    <vt:lpwstr>Christian.Sturmlechner@bmf.gv.at</vt:lpwstr>
  </property>
  <property fmtid="{D5CDD505-2E9C-101B-9397-08002B2CF9AE}" pid="54" name="FSC#EIBPRECONFIG@1.1001:OUEmail">
    <vt:lpwstr>Post.ii-3@bmf.gv.at</vt:lpwstr>
  </property>
  <property fmtid="{D5CDD505-2E9C-101B-9397-08002B2CF9AE}" pid="55" name="FSC#EIBPRECONFIG@1.1001:OwnerGender">
    <vt:lpwstr>Männlich</vt:lpwstr>
  </property>
  <property fmtid="{D5CDD505-2E9C-101B-9397-08002B2CF9AE}" pid="56" name="FSC#EIBPRECONFIG@1.1001:Priority">
    <vt:lpwstr>Nein</vt:lpwstr>
  </property>
  <property fmtid="{D5CDD505-2E9C-101B-9397-08002B2CF9AE}" pid="57" name="FSC#EIBPRECONFIG@1.1001:PreviousFiles">
    <vt:lpwstr>BMF-111103/0010-II/3/2015
BMF-111103/0012-II/3/2015
BMF-111107/0038-II/3/2015
BMF-111103/0025-II/3/2015</vt:lpwstr>
  </property>
  <property fmtid="{D5CDD505-2E9C-101B-9397-08002B2CF9AE}" pid="58" name="FSC#EIBPRECONFIG@1.1001:NextFiles">
    <vt:lpwstr/>
  </property>
  <property fmtid="{D5CDD505-2E9C-101B-9397-08002B2CF9AE}" pid="59" name="FSC#EIBPRECONFIG@1.1001:RelatedFiles">
    <vt:lpwstr/>
  </property>
  <property fmtid="{D5CDD505-2E9C-101B-9397-08002B2CF9AE}" pid="60" name="FSC#EIBPRECONFIG@1.1001:CompletedOrdinals">
    <vt:lpwstr/>
  </property>
  <property fmtid="{D5CDD505-2E9C-101B-9397-08002B2CF9AE}" pid="61" name="FSC#EIBPRECONFIG@1.1001:NrAttachments">
    <vt:lpwstr/>
  </property>
  <property fmtid="{D5CDD505-2E9C-101B-9397-08002B2CF9AE}" pid="62" name="FSC#EIBPRECONFIG@1.1001:Attachments">
    <vt:lpwstr/>
  </property>
  <property fmtid="{D5CDD505-2E9C-101B-9397-08002B2CF9AE}" pid="63" name="FSC#EIBPRECONFIG@1.1001:SubjectArea">
    <vt:lpwstr>Finanzstatistiken</vt:lpwstr>
  </property>
  <property fmtid="{D5CDD505-2E9C-101B-9397-08002B2CF9AE}" pid="64" name="FSC#EIBPRECONFIG@1.1001:Recipients">
    <vt:lpwstr/>
  </property>
  <property fmtid="{D5CDD505-2E9C-101B-9397-08002B2CF9AE}" pid="65" name="FSC#EIBPRECONFIG@1.1001:Classified">
    <vt:lpwstr/>
  </property>
  <property fmtid="{D5CDD505-2E9C-101B-9397-08002B2CF9AE}" pid="66" name="FSC#EIBPRECONFIG@1.1001:Deadline">
    <vt:lpwstr/>
  </property>
  <property fmtid="{D5CDD505-2E9C-101B-9397-08002B2CF9AE}" pid="67" name="FSC#EIBPRECONFIG@1.1001:SettlementSubj">
    <vt:lpwstr>BMF-111103/0008-II/3/2016</vt:lpwstr>
  </property>
  <property fmtid="{D5CDD505-2E9C-101B-9397-08002B2CF9AE}" pid="68" name="FSC#EIBPRECONFIG@1.1001:OUAddr">
    <vt:lpwstr>Johannesgasse 5 , 1010 Wien</vt:lpwstr>
  </property>
  <property fmtid="{D5CDD505-2E9C-101B-9397-08002B2CF9AE}" pid="69" name="FSC#EIBPRECONFIG@1.1001:OUDescr">
    <vt:lpwstr/>
  </property>
  <property fmtid="{D5CDD505-2E9C-101B-9397-08002B2CF9AE}" pid="70" name="FSC#EIBPRECONFIG@1.1001:Signatures">
    <vt:lpwstr>Abzeichnen
Genehmigt</vt:lpwstr>
  </property>
  <property fmtid="{D5CDD505-2E9C-101B-9397-08002B2CF9AE}" pid="71" name="FSC#EIBPRECONFIG@1.1001:currentuser">
    <vt:lpwstr>COO.3000.100.1.105403</vt:lpwstr>
  </property>
  <property fmtid="{D5CDD505-2E9C-101B-9397-08002B2CF9AE}" pid="72" name="FSC#EIBPRECONFIG@1.1001:currentuserrolegroup">
    <vt:lpwstr>COO.3000.100.1.103368</vt:lpwstr>
  </property>
  <property fmtid="{D5CDD505-2E9C-101B-9397-08002B2CF9AE}" pid="73" name="FSC#EIBPRECONFIG@1.1001:currentuserroleposition">
    <vt:lpwstr>COO.1.1001.1.66925</vt:lpwstr>
  </property>
  <property fmtid="{D5CDD505-2E9C-101B-9397-08002B2CF9AE}" pid="74" name="FSC#EIBPRECONFIG@1.1001:currentuserroot">
    <vt:lpwstr>COO.3000.109.2.201612</vt:lpwstr>
  </property>
  <property fmtid="{D5CDD505-2E9C-101B-9397-08002B2CF9AE}" pid="75" name="FSC#EIBPRECONFIG@1.1001:toplevelobject">
    <vt:lpwstr>COO.3000.109.7.3712841</vt:lpwstr>
  </property>
  <property fmtid="{D5CDD505-2E9C-101B-9397-08002B2CF9AE}" pid="76" name="FSC#EIBPRECONFIG@1.1001:objchangedby">
    <vt:lpwstr>Mag. Christian Sturmlechner</vt:lpwstr>
  </property>
  <property fmtid="{D5CDD505-2E9C-101B-9397-08002B2CF9AE}" pid="77" name="FSC#EIBPRECONFIG@1.1001:objchangedat">
    <vt:lpwstr>27.04.2016</vt:lpwstr>
  </property>
  <property fmtid="{D5CDD505-2E9C-101B-9397-08002B2CF9AE}" pid="78" name="FSC#EIBPRECONFIG@1.1001:objname">
    <vt:lpwstr>EA-Prognose Stand April 2016 Aussendung</vt:lpwstr>
  </property>
  <property fmtid="{D5CDD505-2E9C-101B-9397-08002B2CF9AE}" pid="79" name="FSC#EIBPRECONFIG@1.1001:EIBProcessResponsiblePhone">
    <vt:lpwstr>+43 1 51433 502084</vt:lpwstr>
  </property>
  <property fmtid="{D5CDD505-2E9C-101B-9397-08002B2CF9AE}" pid="80" name="FSC#EIBPRECONFIG@1.1001:EIBProcessResponsibleMail">
    <vt:lpwstr>Christian.Sturmlechner@bmf.gv.at</vt:lpwstr>
  </property>
  <property fmtid="{D5CDD505-2E9C-101B-9397-08002B2CF9AE}" pid="81" name="FSC#EIBPRECONFIG@1.1001:EIBProcessResponsibleFax">
    <vt:lpwstr>+43 1514335902084</vt:lpwstr>
  </property>
  <property fmtid="{D5CDD505-2E9C-101B-9397-08002B2CF9AE}" pid="82" name="FSC#EIBPRECONFIG@1.1001:EIBProcessResponsible">
    <vt:lpwstr>Mag. Christian Sturmlechner</vt:lpwstr>
  </property>
  <property fmtid="{D5CDD505-2E9C-101B-9397-08002B2CF9AE}" pid="83" name="FSC#EIBPRECONFIG@1.1001:EIBInternalApprovedByPostTitle">
    <vt:lpwstr/>
  </property>
  <property fmtid="{D5CDD505-2E9C-101B-9397-08002B2CF9AE}" pid="84" name="FSC#EIBPRECONFIG@1.1001:EIBSettlementApprovedByPostTitle">
    <vt:lpwstr/>
  </property>
  <property fmtid="{D5CDD505-2E9C-101B-9397-08002B2CF9AE}" pid="85" name="FSC#EIBPRECONFIG@1.1001:EIBApprovedByPostTitle">
    <vt:lpwstr/>
  </property>
  <property fmtid="{D5CDD505-2E9C-101B-9397-08002B2CF9AE}" pid="86" name="FSC#EIBPRECONFIG@1.1001:EIBDispatchedByPostTitle">
    <vt:lpwstr/>
  </property>
  <property fmtid="{D5CDD505-2E9C-101B-9397-08002B2CF9AE}" pid="87" name="FSC#EIBPRECONFIG@1.1001:objchangedbyPostTitle">
    <vt:lpwstr/>
  </property>
  <property fmtid="{D5CDD505-2E9C-101B-9397-08002B2CF9AE}" pid="88" name="FSC#EIBPRECONFIG@1.1001:EIBProcessResponsiblePostTitle">
    <vt:lpwstr/>
  </property>
  <property fmtid="{D5CDD505-2E9C-101B-9397-08002B2CF9AE}" pid="89" name="FSC#EIBPRECONFIG@1.1001:OwnerPostTitle">
    <vt:lpwstr/>
  </property>
  <property fmtid="{D5CDD505-2E9C-101B-9397-08002B2CF9AE}" pid="90" name="FSC#COOELAK@1.1001:CurrentUserRolePos">
    <vt:lpwstr>Genehmiger/in</vt:lpwstr>
  </property>
  <property fmtid="{D5CDD505-2E9C-101B-9397-08002B2CF9AE}" pid="91" name="FSC#COOELAK@1.1001:CurrentUserEmail">
    <vt:lpwstr>Christian.Sturmlechner@bmf.gv.at</vt:lpwstr>
  </property>
  <property fmtid="{D5CDD505-2E9C-101B-9397-08002B2CF9AE}" pid="92" name="FSC#ATSTATECFG@1.1001:Office">
    <vt:lpwstr/>
  </property>
  <property fmtid="{D5CDD505-2E9C-101B-9397-08002B2CF9AE}" pid="93" name="FSC#ATSTATECFG@1.1001:Agent">
    <vt:lpwstr/>
  </property>
  <property fmtid="{D5CDD505-2E9C-101B-9397-08002B2CF9AE}" pid="94" name="FSC#ATSTATECFG@1.1001:AgentPhone">
    <vt:lpwstr/>
  </property>
  <property fmtid="{D5CDD505-2E9C-101B-9397-08002B2CF9AE}" pid="95" name="FSC#ATSTATECFG@1.1001:DepartmentFax">
    <vt:lpwstr/>
  </property>
  <property fmtid="{D5CDD505-2E9C-101B-9397-08002B2CF9AE}" pid="96" name="FSC#ATSTATECFG@1.1001:DepartmentEMail">
    <vt:lpwstr/>
  </property>
  <property fmtid="{D5CDD505-2E9C-101B-9397-08002B2CF9AE}" pid="97" name="FSC#ATSTATECFG@1.1001:SubfileDate">
    <vt:lpwstr/>
  </property>
  <property fmtid="{D5CDD505-2E9C-101B-9397-08002B2CF9AE}" pid="98" name="FSC#ATSTATECFG@1.1001:SubfileSubject">
    <vt:lpwstr/>
  </property>
  <property fmtid="{D5CDD505-2E9C-101B-9397-08002B2CF9AE}" pid="99" name="FSC#ATSTATECFG@1.1001:DepartmentZipCode">
    <vt:lpwstr/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/>
  </property>
  <property fmtid="{D5CDD505-2E9C-101B-9397-08002B2CF9AE}" pid="102" name="FSC#ATSTATECFG@1.1001:DepartmentStreet">
    <vt:lpwstr/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/>
  </property>
  <property fmtid="{D5CDD505-2E9C-101B-9397-08002B2CF9AE}" pid="106" name="FSC#ATSTATECFG@1.1001:Clause">
    <vt:lpwstr/>
  </property>
  <property fmtid="{D5CDD505-2E9C-101B-9397-08002B2CF9AE}" pid="107" name="FSC#ATSTATECFG@1.1001:ExternalFile">
    <vt:lpwstr/>
  </property>
  <property fmtid="{D5CDD505-2E9C-101B-9397-08002B2CF9AE}" pid="108" name="FSC#ATSTATECFG@1.1001:ApprovedSignature">
    <vt:lpwstr>Mag. Christian Sturmlechner</vt:lpwstr>
  </property>
  <property fmtid="{D5CDD505-2E9C-101B-9397-08002B2CF9AE}" pid="109" name="FSC#ATSTATECFG@1.1001:BankAccount">
    <vt:lpwstr/>
  </property>
  <property fmtid="{D5CDD505-2E9C-101B-9397-08002B2CF9AE}" pid="110" name="FSC#ATSTATECFG@1.1001:BankAccountOwner">
    <vt:lpwstr/>
  </property>
  <property fmtid="{D5CDD505-2E9C-101B-9397-08002B2CF9AE}" pid="111" name="FSC#ATSTATECFG@1.1001:BankInstitute">
    <vt:lpwstr/>
  </property>
  <property fmtid="{D5CDD505-2E9C-101B-9397-08002B2CF9AE}" pid="112" name="FSC#ATSTATECFG@1.1001:BankAccountID">
    <vt:lpwstr/>
  </property>
  <property fmtid="{D5CDD505-2E9C-101B-9397-08002B2CF9AE}" pid="113" name="FSC#ATSTATECFG@1.1001:BankAccountIBAN">
    <vt:lpwstr/>
  </property>
  <property fmtid="{D5CDD505-2E9C-101B-9397-08002B2CF9AE}" pid="114" name="FSC#ATSTATECFG@1.1001:BankAccountBIC">
    <vt:lpwstr/>
  </property>
  <property fmtid="{D5CDD505-2E9C-101B-9397-08002B2CF9AE}" pid="115" name="FSC#ATSTATECFG@1.1001:BankName">
    <vt:lpwstr/>
  </property>
  <property fmtid="{D5CDD505-2E9C-101B-9397-08002B2CF9AE}" pid="116" name="FSC$NOPARSEFILE">
    <vt:bool>true</vt:bool>
  </property>
  <property fmtid="{D5CDD505-2E9C-101B-9397-08002B2CF9AE}" pid="117" name="FSC#CUSTOMIZATIONRESSORTBMF@103.2800:RecipientsBMF">
    <vt:lpwstr/>
  </property>
  <property fmtid="{D5CDD505-2E9C-101B-9397-08002B2CF9AE}" pid="118" name="FSC#CUSTOMIZATIONRESSORTBMF@103.2800:RecipientsEmailBMF">
    <vt:lpwstr/>
  </property>
  <property fmtid="{D5CDD505-2E9C-101B-9397-08002B2CF9AE}" pid="119" name="FSC#CCAPRECONFIG@15.1001:AddrAnrede">
    <vt:lpwstr/>
  </property>
  <property fmtid="{D5CDD505-2E9C-101B-9397-08002B2CF9AE}" pid="120" name="FSC#CCAPRECONFIG@15.1001:AddrTitel">
    <vt:lpwstr/>
  </property>
  <property fmtid="{D5CDD505-2E9C-101B-9397-08002B2CF9AE}" pid="121" name="FSC#CCAPRECONFIG@15.1001:AddrNachgestellter_Titel">
    <vt:lpwstr/>
  </property>
  <property fmtid="{D5CDD505-2E9C-101B-9397-08002B2CF9AE}" pid="122" name="FSC#CCAPRECONFIG@15.1001:AddrVorname">
    <vt:lpwstr/>
  </property>
  <property fmtid="{D5CDD505-2E9C-101B-9397-08002B2CF9AE}" pid="123" name="FSC#CCAPRECONFIG@15.1001:AddrNachname">
    <vt:lpwstr/>
  </property>
  <property fmtid="{D5CDD505-2E9C-101B-9397-08002B2CF9AE}" pid="124" name="FSC#CCAPRECONFIG@15.1001:AddrzH">
    <vt:lpwstr/>
  </property>
  <property fmtid="{D5CDD505-2E9C-101B-9397-08002B2CF9AE}" pid="125" name="FSC#CCAPRECONFIG@15.1001:AddrGeschlecht">
    <vt:lpwstr/>
  </property>
  <property fmtid="{D5CDD505-2E9C-101B-9397-08002B2CF9AE}" pid="126" name="FSC#CCAPRECONFIG@15.1001:AddrStrasse">
    <vt:lpwstr/>
  </property>
  <property fmtid="{D5CDD505-2E9C-101B-9397-08002B2CF9AE}" pid="127" name="FSC#CCAPRECONFIG@15.1001:AddrHausnummer">
    <vt:lpwstr/>
  </property>
  <property fmtid="{D5CDD505-2E9C-101B-9397-08002B2CF9AE}" pid="128" name="FSC#CCAPRECONFIG@15.1001:AddrStiege">
    <vt:lpwstr/>
  </property>
  <property fmtid="{D5CDD505-2E9C-101B-9397-08002B2CF9AE}" pid="129" name="FSC#CCAPRECONFIG@15.1001:AddrTuer">
    <vt:lpwstr/>
  </property>
  <property fmtid="{D5CDD505-2E9C-101B-9397-08002B2CF9AE}" pid="130" name="FSC#CCAPRECONFIG@15.1001:AddrPostfach">
    <vt:lpwstr/>
  </property>
  <property fmtid="{D5CDD505-2E9C-101B-9397-08002B2CF9AE}" pid="131" name="FSC#CCAPRECONFIG@15.1001:AddrPostleitzahl">
    <vt:lpwstr/>
  </property>
  <property fmtid="{D5CDD505-2E9C-101B-9397-08002B2CF9AE}" pid="132" name="FSC#CCAPRECONFIG@15.1001:AddrOrt">
    <vt:lpwstr/>
  </property>
  <property fmtid="{D5CDD505-2E9C-101B-9397-08002B2CF9AE}" pid="133" name="FSC#CCAPRECONFIG@15.1001:AddrLand">
    <vt:lpwstr/>
  </property>
  <property fmtid="{D5CDD505-2E9C-101B-9397-08002B2CF9AE}" pid="134" name="FSC#CCAPRECONFIG@15.1001:AddrEmail">
    <vt:lpwstr/>
  </property>
  <property fmtid="{D5CDD505-2E9C-101B-9397-08002B2CF9AE}" pid="135" name="FSC#CCAPRECONFIG@15.1001:AddrAdresse">
    <vt:lpwstr/>
  </property>
  <property fmtid="{D5CDD505-2E9C-101B-9397-08002B2CF9AE}" pid="136" name="FSC#CCAPRECONFIG@15.1001:AddrFax">
    <vt:lpwstr/>
  </property>
  <property fmtid="{D5CDD505-2E9C-101B-9397-08002B2CF9AE}" pid="137" name="FSC#CCAPRECONFIG@15.1001:AddrOrganisationsname">
    <vt:lpwstr/>
  </property>
  <property fmtid="{D5CDD505-2E9C-101B-9397-08002B2CF9AE}" pid="138" name="FSC#CCAPRECONFIG@15.1001:AddrOrganisationskurzname">
    <vt:lpwstr/>
  </property>
  <property fmtid="{D5CDD505-2E9C-101B-9397-08002B2CF9AE}" pid="139" name="FSC#CCAPRECONFIG@15.1001:AddrAbschriftsbemerkung">
    <vt:lpwstr/>
  </property>
  <property fmtid="{D5CDD505-2E9C-101B-9397-08002B2CF9AE}" pid="140" name="FSC#CCAPRECONFIG@15.1001:AddrName_Zeile_2">
    <vt:lpwstr/>
  </property>
  <property fmtid="{D5CDD505-2E9C-101B-9397-08002B2CF9AE}" pid="141" name="FSC#CCAPRECONFIG@15.1001:AddrName_Zeile_3">
    <vt:lpwstr/>
  </property>
  <property fmtid="{D5CDD505-2E9C-101B-9397-08002B2CF9AE}" pid="142" name="FSC#CCAPRECONFIG@15.1001:AddrPostalischeAdresse">
    <vt:lpwstr/>
  </property>
  <property fmtid="{D5CDD505-2E9C-101B-9397-08002B2CF9AE}" pid="143" name="FSC#ATPRECONFIG@1.1001:ChargePreview">
    <vt:lpwstr/>
  </property>
  <property fmtid="{D5CDD505-2E9C-101B-9397-08002B2CF9AE}" pid="144" name="FSC#FSCFOLIO@1.1001:docpropproject">
    <vt:lpwstr/>
  </property>
</Properties>
</file>